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15ceb4ec3654efcb/SharedFolder/parish council/2026-2027/Finance/Precept 2026-27/"/>
    </mc:Choice>
  </mc:AlternateContent>
  <xr:revisionPtr revIDLastSave="7" documentId="8_{08D2A795-1FDA-4EE8-81C7-B8D9C1F7FFF2}" xr6:coauthVersionLast="47" xr6:coauthVersionMax="47" xr10:uidLastSave="{47E9C3EA-AD15-43E7-8241-6A74F40AE7FD}"/>
  <bookViews>
    <workbookView xWindow="-120" yWindow="-120" windowWidth="29040" windowHeight="15720" xr2:uid="{00000000-000D-0000-FFFF-FFFF00000000}"/>
  </bookViews>
  <sheets>
    <sheet name="Income &amp; Expenditure Estimates" sheetId="1" r:id="rId1"/>
    <sheet name="Precept Increase 9.5%" sheetId="7" r:id="rId2"/>
    <sheet name="Tax Base" sheetId="4" r:id="rId3"/>
    <sheet name="Subscriptions &amp; Donations" sheetId="6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3" i="7" l="1"/>
  <c r="E147" i="1"/>
  <c r="D145" i="1"/>
  <c r="D11" i="7"/>
  <c r="D31" i="7"/>
  <c r="F130" i="1"/>
  <c r="M17" i="4"/>
  <c r="F127" i="1"/>
  <c r="F91" i="1"/>
  <c r="F87" i="1"/>
  <c r="F81" i="1"/>
  <c r="F76" i="1"/>
  <c r="F61" i="1"/>
  <c r="F51" i="1"/>
  <c r="G51" i="1" l="1"/>
  <c r="G61" i="1"/>
  <c r="G76" i="1"/>
  <c r="G81" i="1"/>
  <c r="G87" i="1"/>
  <c r="G91" i="1"/>
  <c r="G127" i="1"/>
  <c r="E138" i="1"/>
  <c r="D13" i="7" l="1"/>
  <c r="D138" i="1"/>
  <c r="E51" i="1" l="1"/>
  <c r="E61" i="1"/>
  <c r="E76" i="1"/>
  <c r="E81" i="1"/>
  <c r="E87" i="1"/>
  <c r="E91" i="1"/>
  <c r="E127" i="1"/>
  <c r="E130" i="1" s="1"/>
  <c r="D127" i="1"/>
  <c r="D91" i="1"/>
  <c r="D87" i="1"/>
  <c r="D81" i="1"/>
  <c r="D76" i="1"/>
  <c r="D61" i="1"/>
  <c r="D51" i="1"/>
  <c r="D13" i="1"/>
  <c r="D10" i="1"/>
  <c r="C4" i="6" l="1"/>
  <c r="C5" i="6"/>
  <c r="C6" i="6"/>
  <c r="C7" i="6"/>
  <c r="C8" i="6"/>
  <c r="C3" i="6"/>
  <c r="C9" i="6" s="1"/>
  <c r="K22" i="4" l="1"/>
  <c r="J17" i="4" s="1"/>
  <c r="K26" i="4" l="1"/>
  <c r="K24" i="4"/>
  <c r="K19" i="4"/>
  <c r="K23" i="4"/>
  <c r="K20" i="4"/>
  <c r="K21" i="4"/>
  <c r="K25" i="4"/>
  <c r="E13" i="1" l="1"/>
  <c r="D18" i="7"/>
  <c r="D12" i="7"/>
  <c r="D9" i="7"/>
  <c r="F136" i="1"/>
  <c r="D17" i="7" l="1"/>
  <c r="D14" i="7"/>
  <c r="D15" i="7"/>
  <c r="G31" i="1"/>
  <c r="F31" i="1"/>
  <c r="G22" i="1"/>
  <c r="F22" i="1"/>
  <c r="G17" i="1"/>
  <c r="F17" i="1"/>
  <c r="G13" i="1"/>
  <c r="F13" i="1"/>
  <c r="G10" i="1"/>
  <c r="G35" i="1" s="1"/>
  <c r="F10" i="1"/>
  <c r="E31" i="1"/>
  <c r="D31" i="1"/>
  <c r="E22" i="1"/>
  <c r="D22" i="1"/>
  <c r="E17" i="1"/>
  <c r="D17" i="1"/>
  <c r="E10" i="1"/>
  <c r="H26" i="4"/>
  <c r="H25" i="4"/>
  <c r="H24" i="4"/>
  <c r="H23" i="4"/>
  <c r="H22" i="4"/>
  <c r="H21" i="4"/>
  <c r="H20" i="4"/>
  <c r="H19" i="4"/>
  <c r="E22" i="4"/>
  <c r="E26" i="4"/>
  <c r="E25" i="4"/>
  <c r="E24" i="4"/>
  <c r="E23" i="4"/>
  <c r="E21" i="4"/>
  <c r="E20" i="4"/>
  <c r="E19" i="4"/>
  <c r="F35" i="1" l="1"/>
  <c r="D137" i="1" s="1"/>
  <c r="D35" i="1"/>
  <c r="E35" i="1"/>
  <c r="D144" i="1"/>
  <c r="N22" i="4"/>
  <c r="P17" i="4"/>
  <c r="B36" i="6"/>
  <c r="N20" i="4" l="1"/>
  <c r="N21" i="4"/>
  <c r="N19" i="4"/>
  <c r="N23" i="4"/>
  <c r="N24" i="4"/>
  <c r="N25" i="4"/>
  <c r="N26" i="4"/>
  <c r="Q26" i="4"/>
  <c r="Q24" i="4"/>
  <c r="Q23" i="4"/>
  <c r="Q21" i="4"/>
  <c r="Q20" i="4"/>
  <c r="Q19" i="4"/>
  <c r="Q25" i="4"/>
  <c r="D32" i="7"/>
  <c r="D27" i="7"/>
  <c r="D26" i="7"/>
  <c r="D19" i="7"/>
  <c r="B26" i="4"/>
  <c r="B25" i="4"/>
  <c r="B24" i="4"/>
  <c r="B23" i="4"/>
  <c r="B21" i="4"/>
  <c r="B20" i="4"/>
  <c r="B19" i="4"/>
  <c r="H12" i="4"/>
  <c r="H11" i="4"/>
  <c r="H10" i="4"/>
  <c r="H9" i="4"/>
  <c r="H8" i="4"/>
  <c r="H7" i="4"/>
  <c r="H6" i="4"/>
  <c r="H5" i="4"/>
  <c r="K11" i="4"/>
  <c r="K12" i="4"/>
  <c r="K10" i="4"/>
  <c r="K9" i="4"/>
  <c r="K8" i="4"/>
  <c r="K7" i="4"/>
  <c r="K6" i="4"/>
  <c r="K5" i="4"/>
  <c r="D30" i="7" l="1"/>
  <c r="D28" i="7"/>
  <c r="D29" i="7"/>
  <c r="B27" i="6"/>
  <c r="B9" i="6"/>
  <c r="E140" i="1" l="1"/>
  <c r="E12" i="4"/>
  <c r="B12" i="4"/>
  <c r="E11" i="4"/>
  <c r="B11" i="4"/>
  <c r="E10" i="4"/>
  <c r="B10" i="4"/>
  <c r="E9" i="4"/>
  <c r="B9" i="4"/>
  <c r="E8" i="4"/>
  <c r="B8" i="4"/>
  <c r="E7" i="4"/>
  <c r="B7" i="4"/>
  <c r="E6" i="4"/>
  <c r="B6" i="4"/>
  <c r="E5" i="4"/>
  <c r="B5" i="4"/>
  <c r="E143" i="1" l="1"/>
  <c r="F144" i="1"/>
  <c r="F137" i="1"/>
  <c r="D130" i="1"/>
  <c r="D140" i="1"/>
  <c r="D143" i="1" l="1"/>
  <c r="D147" i="1" s="1"/>
  <c r="F140" i="1"/>
  <c r="F138" i="1"/>
  <c r="F143" i="1" l="1"/>
  <c r="D10" i="7"/>
  <c r="D21" i="7" s="1"/>
  <c r="D35" i="7" s="1"/>
  <c r="G130" i="1"/>
  <c r="F145" i="1" l="1"/>
  <c r="F147" i="1"/>
  <c r="G147" i="1" s="1"/>
</calcChain>
</file>

<file path=xl/sharedStrings.xml><?xml version="1.0" encoding="utf-8"?>
<sst xmlns="http://schemas.openxmlformats.org/spreadsheetml/2006/main" count="306" uniqueCount="219">
  <si>
    <t>4010</t>
  </si>
  <si>
    <t>Pavilion Rental Income (was 3200-100)</t>
  </si>
  <si>
    <t>4020</t>
  </si>
  <si>
    <t>Burial Ground Income  (was 3300-100)</t>
  </si>
  <si>
    <t>4030</t>
  </si>
  <si>
    <t>Skate Park Income (was 3500 - 100)</t>
  </si>
  <si>
    <t>4035</t>
  </si>
  <si>
    <t>Allotment Income (was 3600 - 100)</t>
  </si>
  <si>
    <t>4036</t>
  </si>
  <si>
    <t>Allotment Water (Hose Use) (was 3610 -100)</t>
  </si>
  <si>
    <t>4100</t>
  </si>
  <si>
    <t>Precept &amp; General Income (was 3950 - 100)</t>
  </si>
  <si>
    <t>4101</t>
  </si>
  <si>
    <t>Bank Interest Receivable</t>
  </si>
  <si>
    <t>7110</t>
  </si>
  <si>
    <t>Pavilion Cleaning (was 4200-100)</t>
  </si>
  <si>
    <t>7112</t>
  </si>
  <si>
    <t>Pavilion Window Cleaning (was 4205-100)</t>
  </si>
  <si>
    <t>7113</t>
  </si>
  <si>
    <t>Pavilion Maintenance (was 4210-100)</t>
  </si>
  <si>
    <t>7116</t>
  </si>
  <si>
    <t>Pavilion Electricity (was 4230-100)</t>
  </si>
  <si>
    <t>7117</t>
  </si>
  <si>
    <t>Pavilion Gas (was 4235-100)</t>
  </si>
  <si>
    <t>7125</t>
  </si>
  <si>
    <t>Burial Ground Maintenance  (was 4300-100)</t>
  </si>
  <si>
    <t>7127</t>
  </si>
  <si>
    <t>Burial Ground Rates (was 4320-100)</t>
  </si>
  <si>
    <t>7130</t>
  </si>
  <si>
    <t>Open Spaces - Maintenance (was 4410-100)</t>
  </si>
  <si>
    <t>7132</t>
  </si>
  <si>
    <t>Open Spaces Electricity (was 4420-100)</t>
  </si>
  <si>
    <t>7133</t>
  </si>
  <si>
    <t>CPA Equipment Inspections (was 4405-100)</t>
  </si>
  <si>
    <t>7134</t>
  </si>
  <si>
    <t>7140</t>
  </si>
  <si>
    <t>Skate Park Inspection (was 4500-100)</t>
  </si>
  <si>
    <t>7143</t>
  </si>
  <si>
    <t>Skate Park Maintenance (was 4520-100)</t>
  </si>
  <si>
    <t>7145</t>
  </si>
  <si>
    <t>7150</t>
  </si>
  <si>
    <t>St George's Hall Maintenance (was 4750-100)</t>
  </si>
  <si>
    <t>7155</t>
  </si>
  <si>
    <t>Street Light Quoted Repairs (was 4920-100)</t>
  </si>
  <si>
    <t>7156</t>
  </si>
  <si>
    <t>Street Lighting Supply Charge  (was 4910-100)</t>
  </si>
  <si>
    <t>7158</t>
  </si>
  <si>
    <t>7165</t>
  </si>
  <si>
    <t>7168</t>
  </si>
  <si>
    <t>Annual Subscriptions</t>
  </si>
  <si>
    <t>7169</t>
  </si>
  <si>
    <t>Stationery (was 5500-100)</t>
  </si>
  <si>
    <t>7170</t>
  </si>
  <si>
    <t>Software (was 5510-100)</t>
  </si>
  <si>
    <t>7171</t>
  </si>
  <si>
    <t>PC/Printer Consumables (was 5520-100)</t>
  </si>
  <si>
    <t>7172</t>
  </si>
  <si>
    <t>Other Office Costs (was 5530-100)</t>
  </si>
  <si>
    <t>7175</t>
  </si>
  <si>
    <t>Telephone (was 5600-100)</t>
  </si>
  <si>
    <t>7176</t>
  </si>
  <si>
    <t>Email (was 5610-100)</t>
  </si>
  <si>
    <t>7177</t>
  </si>
  <si>
    <t>Post and Packing (was 5640-100)</t>
  </si>
  <si>
    <t>7178</t>
  </si>
  <si>
    <t>S137 (was 5660-100)</t>
  </si>
  <si>
    <t>7180</t>
  </si>
  <si>
    <t>Bank Charges (was 5680-100)</t>
  </si>
  <si>
    <t>7198</t>
  </si>
  <si>
    <t>Internal / External Audit  Fee (was 6970-100)</t>
  </si>
  <si>
    <t>7200</t>
  </si>
  <si>
    <t>Staff Salaries (was 5000-100)</t>
  </si>
  <si>
    <t>7201</t>
  </si>
  <si>
    <t>NI / PAYE (was 5030-100)</t>
  </si>
  <si>
    <t>7202</t>
  </si>
  <si>
    <t>Superannuation Contribution (was 5080-100)</t>
  </si>
  <si>
    <t>7203</t>
  </si>
  <si>
    <t>Office Allowance (was 5020-100)</t>
  </si>
  <si>
    <t>Pavilion</t>
  </si>
  <si>
    <t>Burial Ground</t>
  </si>
  <si>
    <t>Open Spaces</t>
  </si>
  <si>
    <t>Allotments</t>
  </si>
  <si>
    <t>Street Lighting</t>
  </si>
  <si>
    <t>Other Parish Expenditure</t>
  </si>
  <si>
    <t>Highways</t>
  </si>
  <si>
    <t>West Street Car Park</t>
  </si>
  <si>
    <t>WPC Reserves</t>
  </si>
  <si>
    <t xml:space="preserve">Burial Ground </t>
  </si>
  <si>
    <t>Skate Park</t>
  </si>
  <si>
    <t>Total Income</t>
  </si>
  <si>
    <t>Bank Interest</t>
  </si>
  <si>
    <t>Total Expenditure</t>
  </si>
  <si>
    <t>Ear Marked Reserves</t>
  </si>
  <si>
    <t>Mileage</t>
  </si>
  <si>
    <t>Open Spaces Trailer</t>
  </si>
  <si>
    <t>Allotment Refundable Deposits</t>
  </si>
  <si>
    <t>Local Plan Legal Expenses</t>
  </si>
  <si>
    <t>Website (was 5535-100)</t>
  </si>
  <si>
    <t>Insurance (was 5690-100)</t>
  </si>
  <si>
    <t>Pavilion Deposit Refunds (was 4210-100)</t>
  </si>
  <si>
    <t>Burial Ground Metered Water</t>
  </si>
  <si>
    <t>Skate Park Oper/Annual Insp (was 4510-100)</t>
  </si>
  <si>
    <t>Skate Park Insurance (was 4510-100)</t>
  </si>
  <si>
    <t>Allotment Maintenance (was 4600-100)</t>
  </si>
  <si>
    <t>Precept 2020-21</t>
  </si>
  <si>
    <t>Wayleave</t>
  </si>
  <si>
    <t>Pavilion Rates (was 4220-100)</t>
  </si>
  <si>
    <t>Pavilion Metered Water (was 4240-100)</t>
  </si>
  <si>
    <t>Winter Maintenance</t>
  </si>
  <si>
    <t>Allotment Metered Water (was 4610-100)</t>
  </si>
  <si>
    <t>Defibrillator</t>
  </si>
  <si>
    <t>CCTV Maintenance</t>
  </si>
  <si>
    <t>Training Costs</t>
  </si>
  <si>
    <t>KALC</t>
  </si>
  <si>
    <t>CPRE</t>
  </si>
  <si>
    <t>SLCC</t>
  </si>
  <si>
    <t>Kent Playing Fields</t>
  </si>
  <si>
    <t>Haymarket Publications (Planning Magazine)</t>
  </si>
  <si>
    <t>Allotment Deposit Refunds</t>
  </si>
  <si>
    <t>Wrotham Fireworks</t>
  </si>
  <si>
    <t>Citizens Advice</t>
  </si>
  <si>
    <t>Xmas Lights</t>
  </si>
  <si>
    <t>Kent Hospice</t>
  </si>
  <si>
    <t>Kent Mediation</t>
  </si>
  <si>
    <t>Royal British Legion (Wreath)</t>
  </si>
  <si>
    <t>Air Ambulance</t>
  </si>
  <si>
    <t>Local Government Finance Act 1992 Council Tax and Non-Domestic Rating (Demand</t>
  </si>
  <si>
    <t xml:space="preserve">     Notices) (England) Regulations 1993 Regulation 5 (4) (B)</t>
  </si>
  <si>
    <t xml:space="preserve">Wrotham </t>
  </si>
  <si>
    <t>Parish Council Precept upon Tonbridge and Mailing Borough Council for the Financial</t>
  </si>
  <si>
    <t xml:space="preserve">Add: </t>
  </si>
  <si>
    <t xml:space="preserve">Allotments </t>
  </si>
  <si>
    <t xml:space="preserve">Open Spaces </t>
  </si>
  <si>
    <t>S137</t>
  </si>
  <si>
    <t xml:space="preserve">Cemeteries &amp; Churchyards </t>
  </si>
  <si>
    <t>Footway Lighting</t>
  </si>
  <si>
    <t>Debt Charges</t>
  </si>
  <si>
    <t xml:space="preserve">Any Other Parish Expenditure Total </t>
  </si>
  <si>
    <t>Elections Costs</t>
  </si>
  <si>
    <t>Total (Gross Expenditure)</t>
  </si>
  <si>
    <t xml:space="preserve">Deduct: ~ </t>
  </si>
  <si>
    <t xml:space="preserve">Other Income (Please Specify) </t>
  </si>
  <si>
    <t>Burial Fees</t>
  </si>
  <si>
    <t>Hire of Pavilion</t>
  </si>
  <si>
    <t xml:space="preserve">Total Precept Requirement (Net Expenditure) </t>
  </si>
  <si>
    <t>Precept 2019-20</t>
  </si>
  <si>
    <t>Band A</t>
  </si>
  <si>
    <t>Band B</t>
  </si>
  <si>
    <t>Band C</t>
  </si>
  <si>
    <t>Band D</t>
  </si>
  <si>
    <t>Band E</t>
  </si>
  <si>
    <t>Band F</t>
  </si>
  <si>
    <t>Band G</t>
  </si>
  <si>
    <t>Band H</t>
  </si>
  <si>
    <t>Working Capital</t>
  </si>
  <si>
    <t>Total Funds</t>
  </si>
  <si>
    <t>Counselling Centre</t>
  </si>
  <si>
    <t>Precept 2021-22</t>
  </si>
  <si>
    <t>St George's Hall Contribution</t>
  </si>
  <si>
    <t>Parish Online (Mapping)</t>
  </si>
  <si>
    <t>Moto A20 HGV Lorry Pak</t>
  </si>
  <si>
    <t>Precept 2022-23</t>
  </si>
  <si>
    <t>Sustrans (Kent Community Rail Partnership)</t>
  </si>
  <si>
    <t>MOTO A20 HGV Lorry Park Contribution</t>
  </si>
  <si>
    <t>Pavilion Refundable Hire Deposit (was 3225-100)</t>
  </si>
  <si>
    <t>Open Spaces - Public Toilets</t>
  </si>
  <si>
    <t>Pavilion Shed Refurbishment</t>
  </si>
  <si>
    <t>Panattoni DPD Planning Application</t>
  </si>
  <si>
    <t>Precept 2023-24</t>
  </si>
  <si>
    <t>Festival of Light</t>
  </si>
  <si>
    <r>
      <t xml:space="preserve">Village Square Improvements </t>
    </r>
    <r>
      <rPr>
        <sz val="10"/>
        <color rgb="FF000000"/>
        <rFont val="Tahoma"/>
        <family val="2"/>
      </rPr>
      <t>(Ear Marked Reserves)</t>
    </r>
  </si>
  <si>
    <t>Election costs</t>
  </si>
  <si>
    <t>Former Stocks Night Club Site - Legal Fees</t>
  </si>
  <si>
    <t>Purchases / Incl Salt Bins/Planning Advice</t>
  </si>
  <si>
    <t>Software</t>
  </si>
  <si>
    <t>Sage</t>
  </si>
  <si>
    <t>Trend Micro</t>
  </si>
  <si>
    <t>Microsoft</t>
  </si>
  <si>
    <t>Wrotham Arts Festival</t>
  </si>
  <si>
    <t>We Are Beams</t>
  </si>
  <si>
    <t>Open Spaces Storage Facitlity</t>
  </si>
  <si>
    <t>Precept 2024-25</t>
  </si>
  <si>
    <t>Precept 2025-26</t>
  </si>
  <si>
    <t>Estimated Income as at 31st March 2026</t>
  </si>
  <si>
    <t>Estimated Reserves as at 31st March 2026</t>
  </si>
  <si>
    <t>IT Support</t>
  </si>
  <si>
    <t>Incl within website package</t>
  </si>
  <si>
    <t>Rechargeable accts - Skatepark</t>
  </si>
  <si>
    <t>Precept 2026-27</t>
  </si>
  <si>
    <t>Income Received To 31st December 25</t>
  </si>
  <si>
    <t>Estimated Outturn 2025-26</t>
  </si>
  <si>
    <t>2026-27 Estimates</t>
  </si>
  <si>
    <t>Estimated Expendenture as at 31st March 2026</t>
  </si>
  <si>
    <t>Opening Balances as at 1st April 2026</t>
  </si>
  <si>
    <t>Estimated Income as at 31st March 2027</t>
  </si>
  <si>
    <t>Estimated Expenditure as at 31st March 2027</t>
  </si>
  <si>
    <t>Estimated Reserves as at 31st March 2027</t>
  </si>
  <si>
    <t>DAVSS</t>
  </si>
  <si>
    <t>Calculation = (Band D x %) x current tmbc tax base</t>
  </si>
  <si>
    <t>Expenditure To 31st December 25</t>
  </si>
  <si>
    <t>Pavilion Cleaning Consumables (was 4201-100)</t>
  </si>
  <si>
    <t>ASB Enforcement Team</t>
  </si>
  <si>
    <t>Burial Plot Purchase Refund</t>
  </si>
  <si>
    <t>Open Spaces Litter Pick (was 4400-100)</t>
  </si>
  <si>
    <r>
      <t>Pavilion Decking Project</t>
    </r>
    <r>
      <rPr>
        <sz val="10"/>
        <color rgb="FF000000"/>
        <rFont val="Tahoma"/>
        <family val="2"/>
      </rPr>
      <t xml:space="preserve"> (Ear Marked Reserves)</t>
    </r>
  </si>
  <si>
    <t>Annual Subscriptions 2026-27</t>
  </si>
  <si>
    <t>S137 Donations 2026-27</t>
  </si>
  <si>
    <t>Village 20mph Zone Project (Ear Marked Reserves)</t>
  </si>
  <si>
    <t>Mapping Software</t>
  </si>
  <si>
    <t>Financial Contractor Support</t>
  </si>
  <si>
    <t>Burial Ground Gate Repair Project</t>
  </si>
  <si>
    <t>Year 2026-27</t>
  </si>
  <si>
    <t>Cricket Pavilion incl decking project</t>
  </si>
  <si>
    <t>Opening Balances as at 1st Jan 2026</t>
  </si>
  <si>
    <t>VAT Repayment</t>
  </si>
  <si>
    <t>KCC Members Grant 26.7%</t>
  </si>
  <si>
    <t>Precept Based on Increase 9.5%</t>
  </si>
  <si>
    <t>Local Plan Contribution</t>
  </si>
  <si>
    <t>2026-27 Precept £153,535 (9.5%)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</si>
</sst>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-&quot;£&quot;* #,##0.00_-;\-&quot;£&quot;* #,##0.00_-;_-&quot;£&quot;* &quot;-&quot;??_-;_-@_-"/>
    <numFmt numFmtId="164" formatCode="_(&quot;£&quot;* #,##0.00_);_(&quot;£&quot;* \(#,##0.00\);_(&quot;£&quot;* &quot;-&quot;??_);_(@_)"/>
    <numFmt numFmtId="165" formatCode="&quot;£&quot;#,##0_);[Red]\(&quot;£&quot;#,##0\)"/>
    <numFmt numFmtId="166" formatCode="&quot;£&quot;#,##0.00"/>
    <numFmt numFmtId="167" formatCode="&quot;£&quot;#,##0"/>
    <numFmt numFmtId="168" formatCode="[$£-809]#,##0"/>
    <numFmt numFmtId="169" formatCode="0.0%"/>
    <numFmt numFmtId="170" formatCode="#,##0.00;[Red]#,##0.00"/>
    <numFmt numFmtId="171" formatCode="0.0000"/>
  </numFmts>
  <fonts count="19" x14ac:knownFonts="1">
    <font>
      <sz val="11"/>
      <name val="Calibri"/>
    </font>
    <font>
      <sz val="11"/>
      <color theme="1"/>
      <name val="Calibri"/>
      <family val="2"/>
      <scheme val="minor"/>
    </font>
    <font>
      <sz val="10"/>
      <name val="Tahoma"/>
      <family val="2"/>
    </font>
    <font>
      <sz val="10"/>
      <color rgb="FF000000"/>
      <name val="Tahoma"/>
      <family val="2"/>
    </font>
    <font>
      <b/>
      <u/>
      <sz val="10"/>
      <color rgb="FF000000"/>
      <name val="Tahoma"/>
      <family val="2"/>
    </font>
    <font>
      <b/>
      <sz val="10"/>
      <color rgb="FF000000"/>
      <name val="Tahoma"/>
      <family val="2"/>
    </font>
    <font>
      <b/>
      <sz val="10"/>
      <name val="Tahoma"/>
      <family val="2"/>
    </font>
    <font>
      <b/>
      <u/>
      <sz val="10"/>
      <name val="Tahoma"/>
      <family val="2"/>
    </font>
    <font>
      <u val="singleAccounting"/>
      <sz val="10"/>
      <color rgb="FF000000"/>
      <name val="Tahoma"/>
      <family val="2"/>
    </font>
    <font>
      <sz val="10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sz val="10"/>
      <color rgb="FFFF0000"/>
      <name val="Tahoma"/>
      <family val="2"/>
    </font>
    <font>
      <u val="singleAccounting"/>
      <sz val="10"/>
      <name val="Tahoma"/>
      <family val="2"/>
    </font>
    <font>
      <b/>
      <sz val="12"/>
      <name val="Arial"/>
      <family val="2"/>
    </font>
    <font>
      <sz val="11"/>
      <name val="Calibri"/>
      <family val="2"/>
    </font>
    <font>
      <b/>
      <sz val="11"/>
      <name val="Calibri"/>
      <family val="2"/>
    </font>
    <font>
      <u/>
      <sz val="11"/>
      <name val="Calibri"/>
      <family val="2"/>
    </font>
    <font>
      <sz val="10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78">
    <xf numFmtId="0" fontId="0" fillId="0" borderId="0" xfId="0"/>
    <xf numFmtId="0" fontId="2" fillId="0" borderId="0" xfId="0" applyFont="1"/>
    <xf numFmtId="0" fontId="6" fillId="0" borderId="0" xfId="0" applyFont="1"/>
    <xf numFmtId="164" fontId="2" fillId="0" borderId="0" xfId="0" applyNumberFormat="1" applyFont="1"/>
    <xf numFmtId="2" fontId="2" fillId="0" borderId="0" xfId="0" applyNumberFormat="1" applyFont="1"/>
    <xf numFmtId="0" fontId="9" fillId="0" borderId="0" xfId="0" applyFont="1"/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10" fillId="0" borderId="0" xfId="0" applyFont="1"/>
    <xf numFmtId="2" fontId="2" fillId="0" borderId="1" xfId="0" applyNumberFormat="1" applyFont="1" applyBorder="1"/>
    <xf numFmtId="0" fontId="2" fillId="0" borderId="1" xfId="0" applyFont="1" applyBorder="1"/>
    <xf numFmtId="10" fontId="9" fillId="0" borderId="0" xfId="0" applyNumberFormat="1" applyFont="1" applyAlignment="1">
      <alignment horizontal="center"/>
    </xf>
    <xf numFmtId="9" fontId="0" fillId="0" borderId="0" xfId="0" applyNumberFormat="1" applyAlignment="1">
      <alignment horizontal="center"/>
    </xf>
    <xf numFmtId="0" fontId="9" fillId="0" borderId="0" xfId="0" applyFont="1" applyAlignment="1">
      <alignment horizontal="left"/>
    </xf>
    <xf numFmtId="164" fontId="9" fillId="0" borderId="0" xfId="0" applyNumberFormat="1" applyFont="1"/>
    <xf numFmtId="164" fontId="0" fillId="0" borderId="0" xfId="0" applyNumberFormat="1"/>
    <xf numFmtId="0" fontId="11" fillId="0" borderId="0" xfId="0" applyFont="1" applyAlignment="1">
      <alignment horizontal="left"/>
    </xf>
    <xf numFmtId="164" fontId="11" fillId="0" borderId="0" xfId="0" applyNumberFormat="1" applyFont="1"/>
    <xf numFmtId="167" fontId="0" fillId="0" borderId="0" xfId="0" applyNumberFormat="1" applyAlignment="1">
      <alignment horizontal="right"/>
    </xf>
    <xf numFmtId="9" fontId="0" fillId="0" borderId="0" xfId="0" applyNumberFormat="1"/>
    <xf numFmtId="168" fontId="0" fillId="0" borderId="0" xfId="0" applyNumberFormat="1"/>
    <xf numFmtId="167" fontId="0" fillId="0" borderId="0" xfId="0" applyNumberFormat="1"/>
    <xf numFmtId="2" fontId="0" fillId="0" borderId="0" xfId="0" applyNumberFormat="1"/>
    <xf numFmtId="165" fontId="0" fillId="0" borderId="0" xfId="0" applyNumberFormat="1"/>
    <xf numFmtId="0" fontId="15" fillId="0" borderId="0" xfId="0" applyFont="1"/>
    <xf numFmtId="0" fontId="16" fillId="0" borderId="0" xfId="0" applyFont="1"/>
    <xf numFmtId="0" fontId="15" fillId="0" borderId="1" xfId="0" applyFont="1" applyBorder="1"/>
    <xf numFmtId="169" fontId="0" fillId="0" borderId="0" xfId="0" applyNumberFormat="1"/>
    <xf numFmtId="170" fontId="0" fillId="0" borderId="0" xfId="0" applyNumberFormat="1"/>
    <xf numFmtId="10" fontId="0" fillId="0" borderId="0" xfId="0" applyNumberFormat="1"/>
    <xf numFmtId="0" fontId="17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left"/>
    </xf>
    <xf numFmtId="164" fontId="6" fillId="0" borderId="0" xfId="0" applyNumberFormat="1" applyFont="1"/>
    <xf numFmtId="164" fontId="2" fillId="0" borderId="0" xfId="0" applyNumberFormat="1" applyFont="1" applyAlignment="1">
      <alignment wrapText="1"/>
    </xf>
    <xf numFmtId="0" fontId="3" fillId="0" borderId="0" xfId="0" applyFont="1" applyAlignment="1">
      <alignment horizontal="left"/>
    </xf>
    <xf numFmtId="164" fontId="3" fillId="0" borderId="1" xfId="0" applyNumberFormat="1" applyFont="1" applyBorder="1" applyAlignment="1">
      <alignment horizontal="left"/>
    </xf>
    <xf numFmtId="164" fontId="2" fillId="0" borderId="1" xfId="0" applyNumberFormat="1" applyFont="1" applyBorder="1"/>
    <xf numFmtId="164" fontId="5" fillId="0" borderId="0" xfId="0" applyNumberFormat="1" applyFont="1" applyAlignment="1">
      <alignment horizontal="left"/>
    </xf>
    <xf numFmtId="0" fontId="5" fillId="0" borderId="0" xfId="0" applyFont="1" applyAlignment="1">
      <alignment horizontal="left"/>
    </xf>
    <xf numFmtId="164" fontId="5" fillId="0" borderId="0" xfId="0" applyNumberFormat="1" applyFont="1" applyAlignment="1">
      <alignment horizontal="right"/>
    </xf>
    <xf numFmtId="164" fontId="3" fillId="0" borderId="0" xfId="0" applyNumberFormat="1" applyFont="1" applyAlignment="1">
      <alignment horizontal="left"/>
    </xf>
    <xf numFmtId="49" fontId="18" fillId="0" borderId="0" xfId="1" applyNumberFormat="1" applyFont="1"/>
    <xf numFmtId="164" fontId="12" fillId="0" borderId="0" xfId="0" applyNumberFormat="1" applyFont="1"/>
    <xf numFmtId="2" fontId="12" fillId="0" borderId="0" xfId="0" applyNumberFormat="1" applyFont="1"/>
    <xf numFmtId="44" fontId="2" fillId="0" borderId="0" xfId="0" applyNumberFormat="1" applyFont="1"/>
    <xf numFmtId="164" fontId="8" fillId="0" borderId="0" xfId="0" applyNumberFormat="1" applyFont="1" applyAlignment="1">
      <alignment horizontal="left"/>
    </xf>
    <xf numFmtId="164" fontId="13" fillId="0" borderId="0" xfId="0" applyNumberFormat="1" applyFont="1"/>
    <xf numFmtId="164" fontId="6" fillId="0" borderId="2" xfId="0" applyNumberFormat="1" applyFont="1" applyBorder="1"/>
    <xf numFmtId="166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" fontId="9" fillId="0" borderId="0" xfId="0" applyNumberFormat="1" applyFont="1"/>
    <xf numFmtId="44" fontId="6" fillId="0" borderId="0" xfId="0" applyNumberFormat="1" applyFont="1"/>
    <xf numFmtId="44" fontId="4" fillId="0" borderId="0" xfId="0" applyNumberFormat="1" applyFont="1" applyAlignment="1">
      <alignment horizontal="center" vertical="center" wrapText="1"/>
    </xf>
    <xf numFmtId="44" fontId="3" fillId="0" borderId="0" xfId="0" applyNumberFormat="1" applyFont="1" applyAlignment="1">
      <alignment horizontal="right"/>
    </xf>
    <xf numFmtId="44" fontId="3" fillId="0" borderId="1" xfId="0" applyNumberFormat="1" applyFont="1" applyBorder="1" applyAlignment="1">
      <alignment horizontal="right"/>
    </xf>
    <xf numFmtId="44" fontId="5" fillId="0" borderId="0" xfId="0" applyNumberFormat="1" applyFont="1" applyAlignment="1">
      <alignment horizontal="right"/>
    </xf>
    <xf numFmtId="44" fontId="5" fillId="0" borderId="0" xfId="0" applyNumberFormat="1" applyFont="1" applyAlignment="1">
      <alignment horizontal="left"/>
    </xf>
    <xf numFmtId="44" fontId="3" fillId="0" borderId="0" xfId="0" applyNumberFormat="1" applyFont="1" applyAlignment="1">
      <alignment horizontal="left"/>
    </xf>
    <xf numFmtId="44" fontId="8" fillId="0" borderId="0" xfId="0" applyNumberFormat="1" applyFont="1" applyAlignment="1">
      <alignment horizontal="right"/>
    </xf>
    <xf numFmtId="44" fontId="6" fillId="0" borderId="2" xfId="0" applyNumberFormat="1" applyFont="1" applyBorder="1"/>
    <xf numFmtId="44" fontId="2" fillId="0" borderId="0" xfId="0" applyNumberFormat="1" applyFont="1" applyAlignment="1">
      <alignment horizontal="center" vertical="center"/>
    </xf>
    <xf numFmtId="171" fontId="0" fillId="0" borderId="0" xfId="0" applyNumberFormat="1"/>
    <xf numFmtId="2" fontId="6" fillId="0" borderId="0" xfId="0" applyNumberFormat="1" applyFont="1"/>
    <xf numFmtId="44" fontId="3" fillId="0" borderId="1" xfId="0" applyNumberFormat="1" applyFont="1" applyBorder="1" applyAlignment="1">
      <alignment horizontal="left"/>
    </xf>
    <xf numFmtId="4" fontId="2" fillId="0" borderId="0" xfId="0" applyNumberFormat="1" applyFont="1"/>
    <xf numFmtId="164" fontId="2" fillId="0" borderId="0" xfId="0" applyNumberFormat="1" applyFont="1" applyAlignment="1">
      <alignment horizontal="center"/>
    </xf>
    <xf numFmtId="44" fontId="2" fillId="0" borderId="0" xfId="0" applyNumberFormat="1" applyFont="1" applyAlignment="1">
      <alignment horizontal="center"/>
    </xf>
    <xf numFmtId="0" fontId="11" fillId="0" borderId="0" xfId="0" applyFont="1"/>
    <xf numFmtId="0" fontId="14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4" fontId="9" fillId="2" borderId="0" xfId="0" applyNumberFormat="1" applyFont="1" applyFill="1"/>
    <xf numFmtId="44" fontId="2" fillId="2" borderId="0" xfId="0" applyNumberFormat="1" applyFont="1" applyFill="1"/>
    <xf numFmtId="164" fontId="2" fillId="2" borderId="0" xfId="0" applyNumberFormat="1" applyFont="1" applyFill="1"/>
  </cellXfs>
  <cellStyles count="2">
    <cellStyle name="Normal" xfId="0" builtinId="0"/>
    <cellStyle name="Normal 2" xfId="1" xr:uid="{5100BD1F-4F50-4828-8F91-A95D54964EE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I163"/>
  <sheetViews>
    <sheetView tabSelected="1" zoomScale="110" zoomScaleNormal="110" zoomScalePageLayoutView="110" workbookViewId="0">
      <selection activeCell="K23" sqref="K23"/>
    </sheetView>
  </sheetViews>
  <sheetFormatPr defaultRowHeight="12.75" x14ac:dyDescent="0.2"/>
  <cols>
    <col min="1" max="1" width="5.140625" style="1" customWidth="1"/>
    <col min="2" max="2" width="14.85546875" style="1" customWidth="1"/>
    <col min="3" max="3" width="53.7109375" style="1" customWidth="1"/>
    <col min="4" max="4" width="18" style="1" bestFit="1" customWidth="1"/>
    <col min="5" max="5" width="19.42578125" style="49" customWidth="1"/>
    <col min="6" max="6" width="17.5703125" style="1" customWidth="1"/>
    <col min="7" max="7" width="20" style="1" bestFit="1" customWidth="1"/>
    <col min="8" max="8" width="15.85546875" style="1" customWidth="1"/>
    <col min="9" max="9" width="13" style="1" customWidth="1"/>
    <col min="10" max="16384" width="9.140625" style="1"/>
  </cols>
  <sheetData>
    <row r="2" spans="2:9" ht="38.25" x14ac:dyDescent="0.2">
      <c r="B2" s="31"/>
      <c r="C2" s="31"/>
      <c r="D2" s="32" t="s">
        <v>182</v>
      </c>
      <c r="E2" s="57" t="s">
        <v>189</v>
      </c>
      <c r="F2" s="33" t="s">
        <v>190</v>
      </c>
      <c r="G2" s="33" t="s">
        <v>191</v>
      </c>
      <c r="H2" s="34"/>
      <c r="I2" s="33"/>
    </row>
    <row r="3" spans="2:9" x14ac:dyDescent="0.2">
      <c r="D3" s="35"/>
    </row>
    <row r="4" spans="2:9" x14ac:dyDescent="0.2">
      <c r="B4" s="36">
        <v>4001</v>
      </c>
      <c r="C4" s="2" t="s">
        <v>217</v>
      </c>
      <c r="D4" s="37">
        <v>0</v>
      </c>
      <c r="E4" s="56">
        <v>0</v>
      </c>
      <c r="F4" s="37">
        <v>0</v>
      </c>
      <c r="G4" s="3">
        <v>3650</v>
      </c>
    </row>
    <row r="5" spans="2:9" x14ac:dyDescent="0.2">
      <c r="D5" s="35"/>
    </row>
    <row r="6" spans="2:9" x14ac:dyDescent="0.2">
      <c r="B6" s="36">
        <v>4004</v>
      </c>
      <c r="C6" s="2" t="s">
        <v>163</v>
      </c>
      <c r="D6" s="37">
        <v>0</v>
      </c>
      <c r="E6" s="56">
        <v>2108.36</v>
      </c>
      <c r="F6" s="37">
        <v>22000</v>
      </c>
      <c r="G6" s="37">
        <v>0</v>
      </c>
    </row>
    <row r="7" spans="2:9" x14ac:dyDescent="0.2">
      <c r="B7" s="36"/>
      <c r="C7" s="2"/>
      <c r="D7" s="38"/>
      <c r="F7" s="3"/>
      <c r="G7" s="3"/>
    </row>
    <row r="8" spans="2:9" x14ac:dyDescent="0.2">
      <c r="B8" s="39" t="s">
        <v>0</v>
      </c>
      <c r="C8" s="39" t="s">
        <v>1</v>
      </c>
      <c r="D8" s="3">
        <v>16000</v>
      </c>
      <c r="E8" s="58">
        <v>11256.2</v>
      </c>
      <c r="F8" s="77">
        <v>2000</v>
      </c>
      <c r="G8" s="77">
        <v>3000</v>
      </c>
      <c r="H8" s="3"/>
      <c r="I8" s="3"/>
    </row>
    <row r="9" spans="2:9" x14ac:dyDescent="0.2">
      <c r="B9" s="39">
        <v>4012</v>
      </c>
      <c r="C9" s="39" t="s">
        <v>164</v>
      </c>
      <c r="D9" s="40">
        <v>0</v>
      </c>
      <c r="E9" s="59">
        <v>400</v>
      </c>
      <c r="F9" s="41">
        <v>100</v>
      </c>
      <c r="G9" s="41">
        <v>0</v>
      </c>
      <c r="H9" s="3"/>
      <c r="I9" s="3"/>
    </row>
    <row r="10" spans="2:9" x14ac:dyDescent="0.2">
      <c r="C10" s="2" t="s">
        <v>78</v>
      </c>
      <c r="D10" s="42">
        <f>SUM(D8:D9)</f>
        <v>16000</v>
      </c>
      <c r="E10" s="56">
        <f>SUM(E8:E9)</f>
        <v>11656.2</v>
      </c>
      <c r="F10" s="37">
        <f>SUM(F8:F9)</f>
        <v>2100</v>
      </c>
      <c r="G10" s="37">
        <f>SUM(G8:G9)</f>
        <v>3000</v>
      </c>
      <c r="H10" s="3"/>
      <c r="I10" s="4"/>
    </row>
    <row r="11" spans="2:9" x14ac:dyDescent="0.2">
      <c r="C11" s="2"/>
      <c r="D11" s="42"/>
      <c r="E11" s="56"/>
      <c r="F11" s="37"/>
      <c r="G11" s="37"/>
      <c r="H11" s="3"/>
      <c r="I11" s="4"/>
    </row>
    <row r="12" spans="2:9" x14ac:dyDescent="0.2">
      <c r="B12" s="39" t="s">
        <v>2</v>
      </c>
      <c r="C12" s="39" t="s">
        <v>3</v>
      </c>
      <c r="D12" s="41">
        <v>2500</v>
      </c>
      <c r="E12" s="59">
        <v>2822.7</v>
      </c>
      <c r="F12" s="41">
        <v>865</v>
      </c>
      <c r="G12" s="41">
        <v>2500</v>
      </c>
      <c r="H12" s="3"/>
      <c r="I12" s="4"/>
    </row>
    <row r="13" spans="2:9" x14ac:dyDescent="0.2">
      <c r="B13" s="39"/>
      <c r="C13" s="43" t="s">
        <v>87</v>
      </c>
      <c r="D13" s="42">
        <f>SUM(D12)</f>
        <v>2500</v>
      </c>
      <c r="E13" s="60">
        <f>SUM(E12:E12)</f>
        <v>2822.7</v>
      </c>
      <c r="F13" s="44">
        <f>SUM(F12)</f>
        <v>865</v>
      </c>
      <c r="G13" s="44">
        <f>SUM(G12)</f>
        <v>2500</v>
      </c>
      <c r="H13" s="3"/>
      <c r="I13" s="4"/>
    </row>
    <row r="14" spans="2:9" x14ac:dyDescent="0.2">
      <c r="B14" s="39"/>
      <c r="C14" s="43"/>
      <c r="D14" s="42"/>
      <c r="E14" s="58"/>
      <c r="F14" s="3"/>
      <c r="G14" s="3"/>
      <c r="H14" s="3"/>
      <c r="I14" s="4"/>
    </row>
    <row r="15" spans="2:9" x14ac:dyDescent="0.2">
      <c r="B15" s="39" t="s">
        <v>4</v>
      </c>
      <c r="C15" s="39" t="s">
        <v>5</v>
      </c>
      <c r="D15" s="3">
        <v>8280</v>
      </c>
      <c r="E15" s="58">
        <v>17600.89</v>
      </c>
      <c r="F15" s="3">
        <v>3236</v>
      </c>
      <c r="G15" s="3">
        <v>13713</v>
      </c>
      <c r="H15" s="3"/>
      <c r="I15" s="4"/>
    </row>
    <row r="16" spans="2:9" x14ac:dyDescent="0.2">
      <c r="B16" s="39"/>
      <c r="C16" s="39" t="s">
        <v>215</v>
      </c>
      <c r="D16" s="41"/>
      <c r="E16" s="59"/>
      <c r="F16" s="41">
        <v>267</v>
      </c>
      <c r="G16" s="41"/>
      <c r="H16" s="3"/>
      <c r="I16" s="4"/>
    </row>
    <row r="17" spans="2:9" x14ac:dyDescent="0.2">
      <c r="B17" s="39"/>
      <c r="C17" s="43" t="s">
        <v>88</v>
      </c>
      <c r="D17" s="42">
        <f>SUM(D15)</f>
        <v>8280</v>
      </c>
      <c r="E17" s="61">
        <f>SUM(E15)</f>
        <v>17600.89</v>
      </c>
      <c r="F17" s="42">
        <f>SUM(F15)</f>
        <v>3236</v>
      </c>
      <c r="G17" s="42">
        <f>SUM(G15)</f>
        <v>13713</v>
      </c>
      <c r="H17" s="3"/>
      <c r="I17" s="4"/>
    </row>
    <row r="18" spans="2:9" x14ac:dyDescent="0.2">
      <c r="B18" s="39"/>
      <c r="C18" s="43"/>
      <c r="D18" s="42"/>
      <c r="E18" s="58"/>
      <c r="F18" s="3"/>
      <c r="G18" s="3"/>
      <c r="H18" s="3"/>
      <c r="I18" s="4"/>
    </row>
    <row r="19" spans="2:9" x14ac:dyDescent="0.2">
      <c r="B19" s="39" t="s">
        <v>6</v>
      </c>
      <c r="C19" s="39" t="s">
        <v>7</v>
      </c>
      <c r="D19" s="3">
        <v>960</v>
      </c>
      <c r="E19" s="58">
        <v>1507.5</v>
      </c>
      <c r="F19" s="3">
        <v>0</v>
      </c>
      <c r="G19" s="3">
        <v>1622</v>
      </c>
      <c r="H19" s="3"/>
      <c r="I19" s="4"/>
    </row>
    <row r="20" spans="2:9" x14ac:dyDescent="0.2">
      <c r="B20" s="39" t="s">
        <v>8</v>
      </c>
      <c r="C20" s="39" t="s">
        <v>9</v>
      </c>
      <c r="D20" s="3">
        <v>900</v>
      </c>
      <c r="E20" s="58">
        <v>0</v>
      </c>
      <c r="F20" s="3">
        <v>0</v>
      </c>
      <c r="G20" s="3">
        <v>0</v>
      </c>
      <c r="H20" s="3"/>
      <c r="I20" s="4"/>
    </row>
    <row r="21" spans="2:9" x14ac:dyDescent="0.2">
      <c r="B21" s="39">
        <v>4037</v>
      </c>
      <c r="C21" s="39" t="s">
        <v>95</v>
      </c>
      <c r="D21" s="40">
        <v>0</v>
      </c>
      <c r="E21" s="59">
        <v>200</v>
      </c>
      <c r="F21" s="41">
        <v>0</v>
      </c>
      <c r="G21" s="41">
        <v>200</v>
      </c>
      <c r="H21" s="3"/>
      <c r="I21" s="4"/>
    </row>
    <row r="22" spans="2:9" x14ac:dyDescent="0.2">
      <c r="B22" s="39"/>
      <c r="C22" s="43" t="s">
        <v>81</v>
      </c>
      <c r="D22" s="42">
        <f>SUM(D19:D21)</f>
        <v>1860</v>
      </c>
      <c r="E22" s="60">
        <f>SUM(E19:E21)</f>
        <v>1707.5</v>
      </c>
      <c r="F22" s="44">
        <f>SUM(F19:F21)</f>
        <v>0</v>
      </c>
      <c r="G22" s="44">
        <f>SUM(G19:G21)</f>
        <v>1822</v>
      </c>
      <c r="H22" s="3"/>
      <c r="I22" s="4"/>
    </row>
    <row r="23" spans="2:9" x14ac:dyDescent="0.2">
      <c r="B23" s="39"/>
      <c r="C23" s="43"/>
      <c r="D23" s="42"/>
      <c r="E23" s="60"/>
      <c r="F23" s="37"/>
      <c r="G23" s="37"/>
      <c r="H23" s="3"/>
      <c r="I23" s="4"/>
    </row>
    <row r="24" spans="2:9" x14ac:dyDescent="0.2">
      <c r="B24" s="39">
        <v>4046</v>
      </c>
      <c r="C24" s="43" t="s">
        <v>158</v>
      </c>
      <c r="D24" s="37">
        <v>2000</v>
      </c>
      <c r="E24" s="60">
        <v>0</v>
      </c>
      <c r="F24" s="37">
        <v>5439</v>
      </c>
      <c r="G24" s="37">
        <v>2000</v>
      </c>
      <c r="H24" s="3"/>
      <c r="I24" s="4"/>
    </row>
    <row r="25" spans="2:9" x14ac:dyDescent="0.2">
      <c r="B25" s="39"/>
      <c r="C25" s="43"/>
      <c r="D25" s="37"/>
      <c r="E25" s="60"/>
      <c r="F25" s="37"/>
      <c r="G25" s="37"/>
      <c r="H25" s="3"/>
      <c r="I25" s="4"/>
    </row>
    <row r="26" spans="2:9" x14ac:dyDescent="0.2">
      <c r="B26" s="39" t="s">
        <v>10</v>
      </c>
      <c r="C26" s="39" t="s">
        <v>11</v>
      </c>
      <c r="D26" s="44">
        <v>138337</v>
      </c>
      <c r="E26" s="60">
        <v>138337</v>
      </c>
      <c r="F26" s="37">
        <v>0</v>
      </c>
      <c r="G26" s="60">
        <v>153535</v>
      </c>
      <c r="H26" s="3"/>
      <c r="I26" s="4"/>
    </row>
    <row r="27" spans="2:9" x14ac:dyDescent="0.2">
      <c r="B27" s="39"/>
      <c r="C27" s="43" t="s">
        <v>216</v>
      </c>
      <c r="D27" s="42"/>
      <c r="E27" s="60"/>
      <c r="F27" s="37"/>
      <c r="G27" s="37"/>
      <c r="H27" s="3"/>
      <c r="I27" s="4"/>
    </row>
    <row r="28" spans="2:9" x14ac:dyDescent="0.2">
      <c r="D28" s="37"/>
      <c r="H28" s="3"/>
      <c r="I28" s="4"/>
    </row>
    <row r="29" spans="2:9" x14ac:dyDescent="0.2">
      <c r="B29" s="39" t="s">
        <v>12</v>
      </c>
      <c r="C29" s="39" t="s">
        <v>13</v>
      </c>
      <c r="D29" s="3">
        <v>3500</v>
      </c>
      <c r="E29" s="58">
        <v>4710.9399999999996</v>
      </c>
      <c r="F29" s="3">
        <v>900</v>
      </c>
      <c r="G29" s="3">
        <v>1600</v>
      </c>
      <c r="H29" s="3"/>
      <c r="I29" s="4"/>
    </row>
    <row r="30" spans="2:9" x14ac:dyDescent="0.2">
      <c r="B30" s="39"/>
      <c r="C30" s="39" t="s">
        <v>105</v>
      </c>
      <c r="D30" s="41">
        <v>1.1499999999999999</v>
      </c>
      <c r="E30" s="59"/>
      <c r="F30" s="41">
        <v>1.1499999999999999</v>
      </c>
      <c r="G30" s="41">
        <v>1.1499999999999999</v>
      </c>
      <c r="H30" s="3"/>
      <c r="I30" s="4"/>
    </row>
    <row r="31" spans="2:9" x14ac:dyDescent="0.2">
      <c r="B31" s="39"/>
      <c r="C31" s="43" t="s">
        <v>90</v>
      </c>
      <c r="D31" s="42">
        <f>SUM(D29:D30)</f>
        <v>3501.15</v>
      </c>
      <c r="E31" s="60">
        <f>SUM(E29:E30)</f>
        <v>4710.9399999999996</v>
      </c>
      <c r="F31" s="44">
        <f>SUM(F29:F30)</f>
        <v>901.15</v>
      </c>
      <c r="G31" s="44">
        <f>SUM(G29:G30)</f>
        <v>1601.15</v>
      </c>
      <c r="H31" s="3"/>
      <c r="I31" s="4"/>
    </row>
    <row r="32" spans="2:9" x14ac:dyDescent="0.2">
      <c r="B32" s="39"/>
      <c r="C32" s="43"/>
      <c r="D32" s="42"/>
      <c r="E32" s="60"/>
      <c r="F32" s="44"/>
      <c r="G32" s="44"/>
      <c r="H32" s="3"/>
      <c r="I32" s="4"/>
    </row>
    <row r="33" spans="2:9" x14ac:dyDescent="0.2">
      <c r="B33" s="39"/>
      <c r="C33" s="43" t="s">
        <v>214</v>
      </c>
      <c r="D33" s="42"/>
      <c r="E33" s="60"/>
      <c r="F33" s="44">
        <v>1879.53</v>
      </c>
      <c r="G33" s="44"/>
      <c r="H33" s="3"/>
      <c r="I33" s="4"/>
    </row>
    <row r="34" spans="2:9" x14ac:dyDescent="0.2">
      <c r="B34" s="39"/>
      <c r="C34" s="43"/>
      <c r="D34" s="42"/>
      <c r="E34" s="60"/>
      <c r="F34" s="44"/>
      <c r="G34" s="44"/>
      <c r="H34" s="3"/>
      <c r="I34" s="4"/>
    </row>
    <row r="35" spans="2:9" x14ac:dyDescent="0.2">
      <c r="B35" s="39"/>
      <c r="C35" s="43" t="s">
        <v>89</v>
      </c>
      <c r="D35" s="37">
        <f>D31+D26+D24+D22+D17+D13+D10+D6+D4</f>
        <v>172478.15</v>
      </c>
      <c r="E35" s="56">
        <f>E31+E26+E24+E22+E17+E13+E10+E6+E4</f>
        <v>178943.59000000003</v>
      </c>
      <c r="F35" s="56">
        <f>F33+F31+F26+F24+F22+F17+F13+F10+F6+F4</f>
        <v>36420.68</v>
      </c>
      <c r="G35" s="37">
        <f>G31+G26+G24+G22+G17+G13+G10</f>
        <v>178171.15</v>
      </c>
      <c r="H35" s="3"/>
      <c r="I35" s="4"/>
    </row>
    <row r="36" spans="2:9" x14ac:dyDescent="0.2">
      <c r="B36" s="39"/>
      <c r="C36" s="39"/>
      <c r="D36" s="45"/>
      <c r="H36" s="3"/>
      <c r="I36" s="4"/>
    </row>
    <row r="37" spans="2:9" x14ac:dyDescent="0.2">
      <c r="B37" s="39"/>
      <c r="C37" s="39"/>
      <c r="D37" s="45"/>
      <c r="H37" s="3"/>
      <c r="I37" s="4"/>
    </row>
    <row r="38" spans="2:9" x14ac:dyDescent="0.2">
      <c r="B38" s="39"/>
      <c r="C38" s="39"/>
      <c r="D38" s="45"/>
      <c r="H38" s="3"/>
      <c r="I38" s="4"/>
    </row>
    <row r="39" spans="2:9" ht="25.5" x14ac:dyDescent="0.2">
      <c r="B39" s="39"/>
      <c r="C39" s="39"/>
      <c r="D39" s="32" t="s">
        <v>182</v>
      </c>
      <c r="E39" s="57" t="s">
        <v>199</v>
      </c>
      <c r="F39" s="33" t="s">
        <v>190</v>
      </c>
      <c r="G39" s="33" t="s">
        <v>191</v>
      </c>
      <c r="H39" s="3"/>
      <c r="I39" s="4"/>
    </row>
    <row r="40" spans="2:9" x14ac:dyDescent="0.2">
      <c r="B40" s="39"/>
      <c r="C40" s="39"/>
      <c r="D40" s="45"/>
      <c r="H40" s="3"/>
      <c r="I40" s="4"/>
    </row>
    <row r="41" spans="2:9" x14ac:dyDescent="0.2">
      <c r="B41" s="39" t="s">
        <v>14</v>
      </c>
      <c r="C41" s="39" t="s">
        <v>15</v>
      </c>
      <c r="D41" s="3">
        <v>5500</v>
      </c>
      <c r="E41" s="58">
        <v>3083.09</v>
      </c>
      <c r="F41" s="3">
        <v>1375</v>
      </c>
      <c r="G41" s="3">
        <v>5000</v>
      </c>
      <c r="H41" s="3"/>
      <c r="I41" s="4"/>
    </row>
    <row r="42" spans="2:9" x14ac:dyDescent="0.2">
      <c r="B42" s="36">
        <v>7111</v>
      </c>
      <c r="C42" s="46" t="s">
        <v>200</v>
      </c>
      <c r="D42" s="3">
        <v>0</v>
      </c>
      <c r="E42" s="49">
        <v>88.95</v>
      </c>
      <c r="F42" s="3">
        <v>25</v>
      </c>
      <c r="G42" s="3">
        <v>120</v>
      </c>
      <c r="H42" s="3"/>
      <c r="I42" s="4"/>
    </row>
    <row r="43" spans="2:9" x14ac:dyDescent="0.2">
      <c r="B43" s="39" t="s">
        <v>16</v>
      </c>
      <c r="C43" s="39" t="s">
        <v>17</v>
      </c>
      <c r="D43" s="3">
        <v>60</v>
      </c>
      <c r="E43" s="58">
        <v>0</v>
      </c>
      <c r="F43" s="3">
        <v>30</v>
      </c>
      <c r="G43" s="3">
        <v>60</v>
      </c>
      <c r="H43" s="3"/>
      <c r="I43" s="4"/>
    </row>
    <row r="44" spans="2:9" x14ac:dyDescent="0.2">
      <c r="B44" s="39" t="s">
        <v>18</v>
      </c>
      <c r="C44" s="39" t="s">
        <v>19</v>
      </c>
      <c r="D44" s="3">
        <v>15000</v>
      </c>
      <c r="E44" s="58">
        <v>2017.62</v>
      </c>
      <c r="F44" s="3">
        <v>750</v>
      </c>
      <c r="G44" s="3">
        <v>10000</v>
      </c>
      <c r="H44" s="3"/>
      <c r="I44" s="4"/>
    </row>
    <row r="45" spans="2:9" x14ac:dyDescent="0.2">
      <c r="B45" s="39">
        <v>7114</v>
      </c>
      <c r="C45" s="39" t="s">
        <v>106</v>
      </c>
      <c r="D45" s="3">
        <v>0</v>
      </c>
      <c r="E45" s="58">
        <v>0</v>
      </c>
      <c r="F45" s="3">
        <v>0</v>
      </c>
      <c r="G45" s="3">
        <v>0</v>
      </c>
      <c r="H45" s="3"/>
      <c r="I45" s="4"/>
    </row>
    <row r="46" spans="2:9" x14ac:dyDescent="0.2">
      <c r="B46" s="39">
        <v>7115</v>
      </c>
      <c r="C46" s="39" t="s">
        <v>99</v>
      </c>
      <c r="D46" s="3">
        <v>0</v>
      </c>
      <c r="E46" s="58">
        <v>450</v>
      </c>
      <c r="F46" s="3">
        <v>150</v>
      </c>
      <c r="G46" s="3">
        <v>0</v>
      </c>
      <c r="H46" s="3"/>
      <c r="I46" s="4"/>
    </row>
    <row r="47" spans="2:9" x14ac:dyDescent="0.2">
      <c r="B47" s="39" t="s">
        <v>20</v>
      </c>
      <c r="C47" s="39" t="s">
        <v>21</v>
      </c>
      <c r="D47" s="3">
        <v>3000</v>
      </c>
      <c r="E47" s="58">
        <v>44.69</v>
      </c>
      <c r="F47" s="3">
        <v>350</v>
      </c>
      <c r="G47" s="3">
        <v>3000</v>
      </c>
      <c r="H47" s="3"/>
      <c r="I47" s="4"/>
    </row>
    <row r="48" spans="2:9" x14ac:dyDescent="0.2">
      <c r="B48" s="39" t="s">
        <v>22</v>
      </c>
      <c r="C48" s="39" t="s">
        <v>23</v>
      </c>
      <c r="D48" s="3">
        <v>2500</v>
      </c>
      <c r="E48" s="58">
        <v>725.14</v>
      </c>
      <c r="F48" s="3">
        <v>750</v>
      </c>
      <c r="G48" s="3">
        <v>2500</v>
      </c>
      <c r="H48" s="3"/>
      <c r="I48" s="4"/>
    </row>
    <row r="49" spans="2:9" x14ac:dyDescent="0.2">
      <c r="B49" s="39">
        <v>7118</v>
      </c>
      <c r="C49" s="39" t="s">
        <v>107</v>
      </c>
      <c r="D49" s="3">
        <v>2000</v>
      </c>
      <c r="E49" s="58">
        <v>0</v>
      </c>
      <c r="F49" s="3">
        <v>150</v>
      </c>
      <c r="G49" s="3">
        <v>2000</v>
      </c>
      <c r="H49" s="3"/>
      <c r="I49" s="4"/>
    </row>
    <row r="50" spans="2:9" x14ac:dyDescent="0.2">
      <c r="B50" s="36">
        <v>7120</v>
      </c>
      <c r="C50" s="1" t="s">
        <v>166</v>
      </c>
      <c r="D50" s="41">
        <v>100</v>
      </c>
      <c r="E50" s="59">
        <v>0</v>
      </c>
      <c r="F50" s="41">
        <v>0</v>
      </c>
      <c r="G50" s="41">
        <v>100</v>
      </c>
      <c r="H50" s="3"/>
      <c r="I50" s="4"/>
    </row>
    <row r="51" spans="2:9" x14ac:dyDescent="0.2">
      <c r="B51" s="39"/>
      <c r="C51" s="43" t="s">
        <v>78</v>
      </c>
      <c r="D51" s="42">
        <f>SUM(D41:D50)</f>
        <v>28160</v>
      </c>
      <c r="E51" s="61">
        <f>SUM(E41:E50)</f>
        <v>6409.49</v>
      </c>
      <c r="F51" s="42">
        <f>SUM(F41:F50)</f>
        <v>3580</v>
      </c>
      <c r="G51" s="42">
        <f>SUM(G41:G50)</f>
        <v>22780</v>
      </c>
      <c r="H51" s="3"/>
      <c r="I51" s="4"/>
    </row>
    <row r="52" spans="2:9" x14ac:dyDescent="0.2">
      <c r="B52" s="39"/>
      <c r="C52" s="43"/>
      <c r="D52" s="42"/>
      <c r="E52" s="61"/>
      <c r="F52" s="42"/>
      <c r="G52" s="42"/>
      <c r="H52" s="3"/>
      <c r="I52" s="4"/>
    </row>
    <row r="53" spans="2:9" x14ac:dyDescent="0.2">
      <c r="B53" s="39"/>
      <c r="C53" s="43" t="s">
        <v>204</v>
      </c>
      <c r="D53" s="42">
        <v>0</v>
      </c>
      <c r="E53" s="61">
        <v>0</v>
      </c>
      <c r="F53" s="42">
        <v>30000</v>
      </c>
      <c r="G53" s="42">
        <v>10000</v>
      </c>
      <c r="H53" s="47"/>
      <c r="I53" s="48"/>
    </row>
    <row r="54" spans="2:9" x14ac:dyDescent="0.2">
      <c r="B54" s="39"/>
      <c r="C54" s="43"/>
      <c r="D54" s="42"/>
      <c r="E54" s="61"/>
      <c r="F54" s="42"/>
      <c r="G54" s="42"/>
      <c r="H54" s="47"/>
      <c r="I54" s="48"/>
    </row>
    <row r="55" spans="2:9" x14ac:dyDescent="0.2">
      <c r="B55" s="39">
        <v>7124</v>
      </c>
      <c r="C55" s="43" t="s">
        <v>210</v>
      </c>
      <c r="D55" s="42">
        <v>0</v>
      </c>
      <c r="E55" s="61">
        <v>2415</v>
      </c>
      <c r="F55" s="42">
        <v>0</v>
      </c>
      <c r="G55" s="42">
        <v>0</v>
      </c>
      <c r="H55" s="47"/>
      <c r="I55" s="48"/>
    </row>
    <row r="56" spans="2:9" x14ac:dyDescent="0.2">
      <c r="B56" s="39"/>
      <c r="C56" s="43"/>
      <c r="D56" s="42"/>
      <c r="E56" s="61"/>
      <c r="F56" s="42"/>
      <c r="G56" s="42"/>
      <c r="H56" s="3"/>
      <c r="I56" s="4"/>
    </row>
    <row r="57" spans="2:9" x14ac:dyDescent="0.2">
      <c r="B57" s="39" t="s">
        <v>24</v>
      </c>
      <c r="C57" s="39" t="s">
        <v>25</v>
      </c>
      <c r="D57" s="3">
        <v>11000</v>
      </c>
      <c r="E57" s="58">
        <v>6746.68</v>
      </c>
      <c r="F57" s="3">
        <v>2200</v>
      </c>
      <c r="G57" s="3">
        <v>11000</v>
      </c>
      <c r="H57" s="3"/>
      <c r="I57" s="4"/>
    </row>
    <row r="58" spans="2:9" x14ac:dyDescent="0.2">
      <c r="B58" s="39">
        <v>7126</v>
      </c>
      <c r="C58" s="39" t="s">
        <v>100</v>
      </c>
      <c r="D58" s="3">
        <v>120</v>
      </c>
      <c r="E58" s="58">
        <v>39.51</v>
      </c>
      <c r="F58" s="3">
        <v>10</v>
      </c>
      <c r="G58" s="3">
        <v>100</v>
      </c>
      <c r="H58" s="3"/>
      <c r="I58" s="4"/>
    </row>
    <row r="59" spans="2:9" x14ac:dyDescent="0.2">
      <c r="B59" s="39" t="s">
        <v>26</v>
      </c>
      <c r="C59" s="39" t="s">
        <v>27</v>
      </c>
      <c r="D59" s="3">
        <v>420</v>
      </c>
      <c r="E59" s="58">
        <v>389.22</v>
      </c>
      <c r="F59" s="3">
        <v>0</v>
      </c>
      <c r="G59" s="3">
        <v>400</v>
      </c>
      <c r="H59" s="3"/>
      <c r="I59" s="4"/>
    </row>
    <row r="60" spans="2:9" x14ac:dyDescent="0.2">
      <c r="B60" s="39">
        <v>7128</v>
      </c>
      <c r="C60" s="39" t="s">
        <v>202</v>
      </c>
      <c r="D60" s="41">
        <v>0</v>
      </c>
      <c r="E60" s="59">
        <v>625</v>
      </c>
      <c r="F60" s="41">
        <v>0</v>
      </c>
      <c r="G60" s="41">
        <v>0</v>
      </c>
      <c r="H60" s="3"/>
      <c r="I60" s="4"/>
    </row>
    <row r="61" spans="2:9" x14ac:dyDescent="0.2">
      <c r="B61" s="39"/>
      <c r="C61" s="43" t="s">
        <v>79</v>
      </c>
      <c r="D61" s="42">
        <f>SUM(D57:D60)</f>
        <v>11540</v>
      </c>
      <c r="E61" s="60">
        <f>SUM(E57:E60)</f>
        <v>7800.4100000000008</v>
      </c>
      <c r="F61" s="44">
        <f>SUM(F57:F60)</f>
        <v>2210</v>
      </c>
      <c r="G61" s="44">
        <f>SUM(G57:G60)</f>
        <v>11500</v>
      </c>
      <c r="H61" s="3"/>
      <c r="I61" s="4"/>
    </row>
    <row r="62" spans="2:9" x14ac:dyDescent="0.2">
      <c r="B62" s="39"/>
      <c r="C62" s="43"/>
      <c r="D62" s="42"/>
      <c r="E62" s="60"/>
      <c r="F62" s="44"/>
      <c r="G62" s="44"/>
      <c r="H62" s="3"/>
      <c r="I62" s="4"/>
    </row>
    <row r="63" spans="2:9" x14ac:dyDescent="0.2">
      <c r="B63" s="39">
        <v>7129</v>
      </c>
      <c r="C63" s="39" t="s">
        <v>165</v>
      </c>
      <c r="D63" s="3">
        <v>1000</v>
      </c>
      <c r="E63" s="58">
        <v>871.18</v>
      </c>
      <c r="F63" s="3">
        <v>200</v>
      </c>
      <c r="G63" s="3">
        <v>1100</v>
      </c>
      <c r="H63" s="3"/>
      <c r="I63" s="4"/>
    </row>
    <row r="64" spans="2:9" x14ac:dyDescent="0.2">
      <c r="B64" s="39" t="s">
        <v>28</v>
      </c>
      <c r="C64" s="39" t="s">
        <v>29</v>
      </c>
      <c r="D64" s="3">
        <v>25000</v>
      </c>
      <c r="E64" s="58">
        <v>13999.17</v>
      </c>
      <c r="F64" s="3">
        <v>8000</v>
      </c>
      <c r="G64" s="3">
        <v>23000</v>
      </c>
      <c r="H64" s="3"/>
      <c r="I64" s="4"/>
    </row>
    <row r="65" spans="2:9" x14ac:dyDescent="0.2">
      <c r="B65" s="39" t="s">
        <v>30</v>
      </c>
      <c r="C65" s="39" t="s">
        <v>31</v>
      </c>
      <c r="D65" s="3">
        <v>480</v>
      </c>
      <c r="E65" s="58">
        <v>310.94</v>
      </c>
      <c r="F65" s="3">
        <v>150</v>
      </c>
      <c r="G65" s="3">
        <v>480</v>
      </c>
      <c r="H65" s="3"/>
      <c r="I65" s="4"/>
    </row>
    <row r="66" spans="2:9" x14ac:dyDescent="0.2">
      <c r="B66" s="39" t="s">
        <v>32</v>
      </c>
      <c r="C66" s="39" t="s">
        <v>33</v>
      </c>
      <c r="D66" s="3">
        <v>2000</v>
      </c>
      <c r="E66" s="58">
        <v>3058</v>
      </c>
      <c r="F66" s="3">
        <v>1000</v>
      </c>
      <c r="G66" s="3">
        <v>4000</v>
      </c>
      <c r="H66" s="3"/>
      <c r="I66" s="4"/>
    </row>
    <row r="67" spans="2:9" x14ac:dyDescent="0.2">
      <c r="B67" s="39" t="s">
        <v>34</v>
      </c>
      <c r="C67" s="39" t="s">
        <v>203</v>
      </c>
      <c r="D67" s="3">
        <v>3500</v>
      </c>
      <c r="E67" s="58">
        <v>4526.25</v>
      </c>
      <c r="F67" s="3">
        <v>2500</v>
      </c>
      <c r="G67" s="3">
        <v>7000</v>
      </c>
      <c r="H67" s="3"/>
      <c r="I67" s="4"/>
    </row>
    <row r="68" spans="2:9" x14ac:dyDescent="0.2">
      <c r="B68" s="39">
        <v>7135</v>
      </c>
      <c r="C68" s="39" t="s">
        <v>94</v>
      </c>
      <c r="D68" s="3">
        <v>150</v>
      </c>
      <c r="E68" s="58">
        <v>56.62</v>
      </c>
      <c r="F68" s="3">
        <v>50</v>
      </c>
      <c r="G68" s="3">
        <v>120</v>
      </c>
      <c r="H68" s="3"/>
      <c r="I68" s="4"/>
    </row>
    <row r="69" spans="2:9" x14ac:dyDescent="0.2">
      <c r="B69" s="39">
        <v>7136</v>
      </c>
      <c r="C69" s="39" t="s">
        <v>111</v>
      </c>
      <c r="D69" s="3">
        <v>1000</v>
      </c>
      <c r="E69" s="58">
        <v>802.5</v>
      </c>
      <c r="F69" s="3">
        <v>650</v>
      </c>
      <c r="G69" s="3">
        <v>2000</v>
      </c>
      <c r="H69" s="3"/>
      <c r="I69" s="4"/>
    </row>
    <row r="70" spans="2:9" x14ac:dyDescent="0.2">
      <c r="B70" s="39">
        <v>7137</v>
      </c>
      <c r="C70" s="39" t="s">
        <v>110</v>
      </c>
      <c r="D70" s="3">
        <v>200</v>
      </c>
      <c r="E70" s="58">
        <v>22.5</v>
      </c>
      <c r="F70" s="3">
        <v>0</v>
      </c>
      <c r="G70" s="3">
        <v>300</v>
      </c>
      <c r="H70" s="3"/>
      <c r="I70" s="4"/>
    </row>
    <row r="71" spans="2:9" x14ac:dyDescent="0.2">
      <c r="B71" s="39">
        <v>7139</v>
      </c>
      <c r="C71" s="39" t="s">
        <v>180</v>
      </c>
      <c r="D71" s="3">
        <v>5000</v>
      </c>
      <c r="E71" s="58">
        <v>3750.39</v>
      </c>
      <c r="F71" s="3">
        <v>1200</v>
      </c>
      <c r="G71" s="3">
        <v>5000</v>
      </c>
      <c r="H71" s="3"/>
      <c r="I71" s="4"/>
    </row>
    <row r="72" spans="2:9" x14ac:dyDescent="0.2">
      <c r="B72" s="39" t="s">
        <v>35</v>
      </c>
      <c r="C72" s="39" t="s">
        <v>36</v>
      </c>
      <c r="D72" s="3">
        <v>1850</v>
      </c>
      <c r="E72" s="58">
        <v>765</v>
      </c>
      <c r="F72" s="3">
        <v>600</v>
      </c>
      <c r="G72" s="3">
        <v>1825</v>
      </c>
      <c r="H72" s="3"/>
      <c r="I72" s="4"/>
    </row>
    <row r="73" spans="2:9" x14ac:dyDescent="0.2">
      <c r="B73" s="39">
        <v>7141</v>
      </c>
      <c r="C73" s="39" t="s">
        <v>101</v>
      </c>
      <c r="D73" s="3">
        <v>600</v>
      </c>
      <c r="E73" s="58">
        <v>100</v>
      </c>
      <c r="F73" s="3">
        <v>400</v>
      </c>
      <c r="G73" s="3">
        <v>600</v>
      </c>
      <c r="H73" s="3"/>
      <c r="I73" s="4"/>
    </row>
    <row r="74" spans="2:9" x14ac:dyDescent="0.2">
      <c r="B74" s="39">
        <v>7142</v>
      </c>
      <c r="C74" s="39" t="s">
        <v>102</v>
      </c>
      <c r="D74" s="3">
        <v>1550</v>
      </c>
      <c r="E74" s="58">
        <v>1483.21</v>
      </c>
      <c r="F74" s="3">
        <v>0</v>
      </c>
      <c r="G74" s="3">
        <v>1550</v>
      </c>
      <c r="H74" s="3"/>
      <c r="I74" s="4"/>
    </row>
    <row r="75" spans="2:9" x14ac:dyDescent="0.2">
      <c r="B75" s="39" t="s">
        <v>37</v>
      </c>
      <c r="C75" s="39" t="s">
        <v>38</v>
      </c>
      <c r="D75" s="41">
        <v>8000</v>
      </c>
      <c r="E75" s="59">
        <v>21531.19</v>
      </c>
      <c r="F75" s="41">
        <v>800</v>
      </c>
      <c r="G75" s="41">
        <v>15500</v>
      </c>
      <c r="H75" s="3"/>
      <c r="I75" s="4"/>
    </row>
    <row r="76" spans="2:9" x14ac:dyDescent="0.2">
      <c r="B76" s="39"/>
      <c r="C76" s="43" t="s">
        <v>80</v>
      </c>
      <c r="D76" s="42">
        <f>SUM(D63:D75)</f>
        <v>50330</v>
      </c>
      <c r="E76" s="61">
        <f>SUM(E63:E75)</f>
        <v>51276.95</v>
      </c>
      <c r="F76" s="42">
        <f>SUM(F63:F75)</f>
        <v>15550</v>
      </c>
      <c r="G76" s="42">
        <f>SUM(G63:G75)</f>
        <v>62475</v>
      </c>
      <c r="H76" s="3"/>
      <c r="I76" s="4"/>
    </row>
    <row r="77" spans="2:9" x14ac:dyDescent="0.2">
      <c r="B77" s="39"/>
      <c r="C77" s="43"/>
      <c r="D77" s="42"/>
      <c r="E77" s="58"/>
      <c r="F77" s="3"/>
      <c r="G77" s="3"/>
      <c r="H77" s="3"/>
      <c r="I77" s="4"/>
    </row>
    <row r="78" spans="2:9" x14ac:dyDescent="0.2">
      <c r="B78" s="39" t="s">
        <v>39</v>
      </c>
      <c r="C78" s="1" t="s">
        <v>103</v>
      </c>
      <c r="D78" s="3">
        <v>2000</v>
      </c>
      <c r="E78" s="58">
        <v>1101.6600000000001</v>
      </c>
      <c r="F78" s="3">
        <v>150</v>
      </c>
      <c r="G78" s="3">
        <v>2000</v>
      </c>
      <c r="H78" s="3"/>
      <c r="I78" s="4"/>
    </row>
    <row r="79" spans="2:9" x14ac:dyDescent="0.2">
      <c r="B79" s="39">
        <v>7146</v>
      </c>
      <c r="C79" s="1" t="s">
        <v>109</v>
      </c>
      <c r="D79" s="3">
        <v>4000</v>
      </c>
      <c r="E79" s="58">
        <v>1240.69</v>
      </c>
      <c r="F79" s="3">
        <v>10</v>
      </c>
      <c r="G79" s="3">
        <v>1500</v>
      </c>
      <c r="H79" s="3"/>
      <c r="I79" s="4"/>
    </row>
    <row r="80" spans="2:9" x14ac:dyDescent="0.2">
      <c r="B80" s="39"/>
      <c r="C80" s="1" t="s">
        <v>118</v>
      </c>
      <c r="D80" s="41">
        <v>200</v>
      </c>
      <c r="E80" s="59">
        <v>0</v>
      </c>
      <c r="F80" s="41">
        <v>0</v>
      </c>
      <c r="G80" s="41">
        <v>200</v>
      </c>
      <c r="H80" s="3"/>
      <c r="I80" s="4"/>
    </row>
    <row r="81" spans="2:9" x14ac:dyDescent="0.2">
      <c r="B81" s="39"/>
      <c r="C81" s="43" t="s">
        <v>81</v>
      </c>
      <c r="D81" s="42">
        <f>SUM(D78:D80)</f>
        <v>6200</v>
      </c>
      <c r="E81" s="56">
        <f>SUM(E78:E80)</f>
        <v>2342.3500000000004</v>
      </c>
      <c r="F81" s="37">
        <f>SUM(F78:F80)</f>
        <v>160</v>
      </c>
      <c r="G81" s="37">
        <f>SUM(G78:G80)</f>
        <v>3700</v>
      </c>
      <c r="H81" s="3"/>
      <c r="I81" s="4"/>
    </row>
    <row r="82" spans="2:9" x14ac:dyDescent="0.2">
      <c r="B82" s="39"/>
      <c r="C82" s="43"/>
      <c r="D82" s="42"/>
      <c r="E82" s="58"/>
      <c r="F82" s="3"/>
      <c r="G82" s="3"/>
      <c r="H82" s="3"/>
      <c r="I82" s="4"/>
    </row>
    <row r="83" spans="2:9" x14ac:dyDescent="0.2">
      <c r="B83" s="39">
        <v>7152</v>
      </c>
      <c r="C83" s="43" t="s">
        <v>170</v>
      </c>
      <c r="D83" s="42">
        <v>18000</v>
      </c>
      <c r="E83" s="61">
        <v>0</v>
      </c>
      <c r="F83" s="42">
        <v>18000</v>
      </c>
      <c r="G83" s="42">
        <v>0</v>
      </c>
      <c r="H83" s="47"/>
      <c r="I83" s="48"/>
    </row>
    <row r="84" spans="2:9" x14ac:dyDescent="0.2">
      <c r="B84" s="39"/>
      <c r="C84" s="43"/>
      <c r="D84" s="42"/>
      <c r="E84" s="58"/>
      <c r="F84" s="3"/>
      <c r="G84" s="3"/>
      <c r="H84" s="3"/>
      <c r="I84" s="4"/>
    </row>
    <row r="85" spans="2:9" x14ac:dyDescent="0.2">
      <c r="B85" s="39" t="s">
        <v>42</v>
      </c>
      <c r="C85" s="39" t="s">
        <v>43</v>
      </c>
      <c r="D85" s="3">
        <v>500</v>
      </c>
      <c r="E85" s="58">
        <v>65.77</v>
      </c>
      <c r="F85" s="3">
        <v>75</v>
      </c>
      <c r="G85" s="3">
        <v>300</v>
      </c>
      <c r="H85" s="3"/>
      <c r="I85" s="4"/>
    </row>
    <row r="86" spans="2:9" x14ac:dyDescent="0.2">
      <c r="B86" s="39" t="s">
        <v>44</v>
      </c>
      <c r="C86" s="39" t="s">
        <v>45</v>
      </c>
      <c r="D86" s="41">
        <v>2500</v>
      </c>
      <c r="E86" s="59">
        <v>1393.96</v>
      </c>
      <c r="F86" s="41">
        <v>600</v>
      </c>
      <c r="G86" s="41">
        <v>2500</v>
      </c>
      <c r="H86" s="3"/>
      <c r="I86" s="4"/>
    </row>
    <row r="87" spans="2:9" x14ac:dyDescent="0.2">
      <c r="B87" s="39" t="s">
        <v>46</v>
      </c>
      <c r="C87" s="43" t="s">
        <v>82</v>
      </c>
      <c r="D87" s="42">
        <f>SUM(D85:D86)</f>
        <v>3000</v>
      </c>
      <c r="E87" s="61">
        <f>SUM(E85:E86)</f>
        <v>1459.73</v>
      </c>
      <c r="F87" s="42">
        <f>SUM(F85:F86)</f>
        <v>675</v>
      </c>
      <c r="G87" s="42">
        <f>SUM(G85:G86)</f>
        <v>2800</v>
      </c>
      <c r="H87" s="3"/>
      <c r="I87" s="4"/>
    </row>
    <row r="88" spans="2:9" x14ac:dyDescent="0.2">
      <c r="B88" s="39"/>
      <c r="C88" s="43"/>
      <c r="D88" s="42"/>
      <c r="E88" s="61"/>
      <c r="F88" s="42"/>
      <c r="G88" s="44"/>
      <c r="H88" s="3"/>
      <c r="I88" s="4"/>
    </row>
    <row r="89" spans="2:9" x14ac:dyDescent="0.2">
      <c r="B89" s="39">
        <v>7160</v>
      </c>
      <c r="C89" s="39" t="s">
        <v>173</v>
      </c>
      <c r="D89" s="3">
        <v>500</v>
      </c>
      <c r="E89" s="58">
        <v>0</v>
      </c>
      <c r="F89" s="3">
        <v>0</v>
      </c>
      <c r="G89" s="3">
        <v>0</v>
      </c>
      <c r="H89" s="3"/>
      <c r="I89" s="4"/>
    </row>
    <row r="90" spans="2:9" x14ac:dyDescent="0.2">
      <c r="B90" s="39">
        <v>7161</v>
      </c>
      <c r="C90" s="39" t="s">
        <v>108</v>
      </c>
      <c r="D90" s="40">
        <v>1000</v>
      </c>
      <c r="E90" s="68">
        <v>237.5</v>
      </c>
      <c r="F90" s="40">
        <v>800</v>
      </c>
      <c r="G90" s="40">
        <v>1500</v>
      </c>
      <c r="H90" s="3"/>
      <c r="I90" s="4"/>
    </row>
    <row r="91" spans="2:9" x14ac:dyDescent="0.2">
      <c r="B91" s="39"/>
      <c r="C91" s="43" t="s">
        <v>84</v>
      </c>
      <c r="D91" s="42">
        <f>SUM(D89:D90)</f>
        <v>1500</v>
      </c>
      <c r="E91" s="61">
        <f>SUM(E89:E90)</f>
        <v>237.5</v>
      </c>
      <c r="F91" s="42">
        <f>SUM(F89:F90)</f>
        <v>800</v>
      </c>
      <c r="G91" s="42">
        <f>SUM(G89:G90)</f>
        <v>1500</v>
      </c>
      <c r="H91" s="47"/>
      <c r="I91" s="48"/>
    </row>
    <row r="92" spans="2:9" x14ac:dyDescent="0.2">
      <c r="B92" s="39"/>
      <c r="C92" s="43"/>
      <c r="D92" s="42"/>
      <c r="E92" s="61"/>
      <c r="F92" s="42"/>
      <c r="G92" s="42"/>
      <c r="H92" s="47"/>
      <c r="I92" s="48"/>
    </row>
    <row r="93" spans="2:9" s="2" customFormat="1" x14ac:dyDescent="0.2">
      <c r="B93" s="39">
        <v>7164</v>
      </c>
      <c r="C93" s="43" t="s">
        <v>207</v>
      </c>
      <c r="D93" s="42">
        <v>0</v>
      </c>
      <c r="E93" s="61">
        <v>400</v>
      </c>
      <c r="F93" s="42">
        <v>0</v>
      </c>
      <c r="G93" s="42">
        <v>40000</v>
      </c>
      <c r="H93" s="37"/>
      <c r="I93" s="67"/>
    </row>
    <row r="94" spans="2:9" x14ac:dyDescent="0.2">
      <c r="B94" s="39"/>
      <c r="C94" s="43"/>
      <c r="D94" s="42"/>
      <c r="E94" s="61"/>
      <c r="F94" s="42"/>
      <c r="G94" s="42"/>
      <c r="H94" s="47"/>
      <c r="I94" s="48"/>
    </row>
    <row r="95" spans="2:9" x14ac:dyDescent="0.2">
      <c r="B95" s="39" t="s">
        <v>47</v>
      </c>
      <c r="C95" s="43" t="s">
        <v>85</v>
      </c>
      <c r="D95" s="37">
        <v>6500</v>
      </c>
      <c r="E95" s="60">
        <v>4632.2</v>
      </c>
      <c r="F95" s="37">
        <v>1265</v>
      </c>
      <c r="G95" s="37">
        <v>6500</v>
      </c>
      <c r="H95" s="3"/>
      <c r="I95" s="4"/>
    </row>
    <row r="96" spans="2:9" x14ac:dyDescent="0.2">
      <c r="B96" s="39"/>
      <c r="C96" s="43"/>
      <c r="D96" s="42"/>
      <c r="E96" s="61"/>
      <c r="F96" s="42"/>
      <c r="G96" s="42"/>
      <c r="H96" s="47"/>
      <c r="I96" s="48"/>
    </row>
    <row r="97" spans="2:9" x14ac:dyDescent="0.2">
      <c r="B97" s="39" t="s">
        <v>64</v>
      </c>
      <c r="C97" s="43" t="s">
        <v>65</v>
      </c>
      <c r="D97" s="37">
        <v>2800</v>
      </c>
      <c r="E97" s="60">
        <v>1220.31</v>
      </c>
      <c r="F97" s="37">
        <v>500</v>
      </c>
      <c r="G97" s="37">
        <v>3250</v>
      </c>
      <c r="H97" s="3"/>
      <c r="I97" s="4"/>
    </row>
    <row r="98" spans="2:9" x14ac:dyDescent="0.2">
      <c r="B98" s="39"/>
      <c r="C98" s="39"/>
      <c r="D98" s="42"/>
      <c r="E98" s="58"/>
      <c r="F98" s="3"/>
      <c r="G98" s="3"/>
      <c r="H98" s="3"/>
      <c r="I98" s="4"/>
    </row>
    <row r="99" spans="2:9" x14ac:dyDescent="0.2">
      <c r="B99" s="39">
        <v>7102</v>
      </c>
      <c r="C99" s="39" t="s">
        <v>96</v>
      </c>
      <c r="D99" s="3">
        <v>0</v>
      </c>
      <c r="E99" s="62">
        <v>0</v>
      </c>
      <c r="F99" s="3">
        <v>800</v>
      </c>
      <c r="G99" s="3">
        <v>5000</v>
      </c>
      <c r="H99" s="3"/>
      <c r="I99" s="4"/>
    </row>
    <row r="100" spans="2:9" x14ac:dyDescent="0.2">
      <c r="B100" s="39">
        <v>7105</v>
      </c>
      <c r="C100" s="39" t="s">
        <v>160</v>
      </c>
      <c r="D100" s="3">
        <v>0</v>
      </c>
      <c r="E100" s="62">
        <v>13198.8</v>
      </c>
      <c r="F100" s="3">
        <v>26500</v>
      </c>
      <c r="G100" s="3">
        <v>0</v>
      </c>
      <c r="H100" s="3"/>
      <c r="I100" s="4"/>
    </row>
    <row r="101" spans="2:9" x14ac:dyDescent="0.2">
      <c r="B101" s="36">
        <v>7107</v>
      </c>
      <c r="C101" s="1" t="s">
        <v>172</v>
      </c>
      <c r="D101" s="3">
        <v>0</v>
      </c>
      <c r="E101" s="49">
        <v>0</v>
      </c>
      <c r="F101" s="3">
        <v>0</v>
      </c>
      <c r="G101" s="3">
        <v>0</v>
      </c>
      <c r="H101" s="3"/>
      <c r="I101" s="4"/>
    </row>
    <row r="102" spans="2:9" x14ac:dyDescent="0.2">
      <c r="B102" s="36">
        <v>7109</v>
      </c>
      <c r="C102" s="1" t="s">
        <v>167</v>
      </c>
      <c r="D102" s="45">
        <v>25000</v>
      </c>
      <c r="E102" s="49">
        <v>5020</v>
      </c>
      <c r="F102" s="3">
        <v>0</v>
      </c>
      <c r="G102" s="3">
        <v>10000</v>
      </c>
      <c r="H102" s="3"/>
      <c r="I102" s="4"/>
    </row>
    <row r="103" spans="2:9" x14ac:dyDescent="0.2">
      <c r="B103" s="39" t="s">
        <v>40</v>
      </c>
      <c r="C103" s="39" t="s">
        <v>41</v>
      </c>
      <c r="D103" s="45">
        <v>3000</v>
      </c>
      <c r="E103" s="49">
        <v>5839.11</v>
      </c>
      <c r="F103" s="3">
        <v>600</v>
      </c>
      <c r="G103" s="3">
        <v>3000</v>
      </c>
      <c r="H103" s="3"/>
      <c r="I103" s="4"/>
    </row>
    <row r="104" spans="2:9" x14ac:dyDescent="0.2">
      <c r="B104" s="39" t="s">
        <v>48</v>
      </c>
      <c r="C104" s="39" t="s">
        <v>49</v>
      </c>
      <c r="D104" s="45">
        <v>1710</v>
      </c>
      <c r="E104" s="49">
        <v>1044.17</v>
      </c>
      <c r="F104" s="3">
        <v>580</v>
      </c>
      <c r="G104" s="3">
        <v>1800</v>
      </c>
      <c r="H104" s="3"/>
      <c r="I104" s="4"/>
    </row>
    <row r="105" spans="2:9" x14ac:dyDescent="0.2">
      <c r="B105" s="39" t="s">
        <v>50</v>
      </c>
      <c r="C105" s="39" t="s">
        <v>51</v>
      </c>
      <c r="D105" s="45">
        <v>150</v>
      </c>
      <c r="E105" s="49">
        <v>31.11</v>
      </c>
      <c r="F105" s="3">
        <v>15</v>
      </c>
      <c r="G105" s="3">
        <v>100</v>
      </c>
      <c r="H105" s="3"/>
      <c r="I105" s="4"/>
    </row>
    <row r="106" spans="2:9" x14ac:dyDescent="0.2">
      <c r="B106" s="39" t="s">
        <v>52</v>
      </c>
      <c r="C106" s="39" t="s">
        <v>53</v>
      </c>
      <c r="D106" s="45">
        <v>1475</v>
      </c>
      <c r="E106" s="49">
        <v>1856.46</v>
      </c>
      <c r="F106" s="3">
        <v>0</v>
      </c>
      <c r="G106" s="3">
        <v>1900</v>
      </c>
      <c r="H106" s="3"/>
      <c r="I106" s="4"/>
    </row>
    <row r="107" spans="2:9" x14ac:dyDescent="0.2">
      <c r="B107" s="39" t="s">
        <v>54</v>
      </c>
      <c r="C107" s="39" t="s">
        <v>55</v>
      </c>
      <c r="D107" s="45">
        <v>100</v>
      </c>
      <c r="E107" s="49">
        <v>135.79</v>
      </c>
      <c r="F107" s="3">
        <v>50</v>
      </c>
      <c r="G107" s="3">
        <v>150</v>
      </c>
      <c r="H107" s="3"/>
      <c r="I107" s="4"/>
    </row>
    <row r="108" spans="2:9" x14ac:dyDescent="0.2">
      <c r="B108" s="39" t="s">
        <v>56</v>
      </c>
      <c r="C108" s="39" t="s">
        <v>57</v>
      </c>
      <c r="D108" s="45">
        <v>800</v>
      </c>
      <c r="E108" s="49">
        <v>458.08</v>
      </c>
      <c r="F108" s="3">
        <v>150</v>
      </c>
      <c r="G108" s="3">
        <v>700</v>
      </c>
      <c r="H108" s="3"/>
      <c r="I108" s="4"/>
    </row>
    <row r="109" spans="2:9" x14ac:dyDescent="0.2">
      <c r="B109" s="36">
        <v>7173</v>
      </c>
      <c r="C109" s="1" t="s">
        <v>97</v>
      </c>
      <c r="D109" s="45">
        <v>400</v>
      </c>
      <c r="E109" s="49">
        <v>440</v>
      </c>
      <c r="F109" s="3">
        <v>0</v>
      </c>
      <c r="G109" s="3">
        <v>500</v>
      </c>
      <c r="H109" s="3"/>
      <c r="I109" s="4"/>
    </row>
    <row r="110" spans="2:9" x14ac:dyDescent="0.2">
      <c r="B110" s="36">
        <v>7174</v>
      </c>
      <c r="C110" s="1" t="s">
        <v>185</v>
      </c>
      <c r="D110" s="45">
        <v>500</v>
      </c>
      <c r="E110" s="49">
        <v>70</v>
      </c>
      <c r="F110" s="3">
        <v>100</v>
      </c>
      <c r="G110" s="3">
        <v>500</v>
      </c>
      <c r="H110" s="3"/>
      <c r="I110" s="4"/>
    </row>
    <row r="111" spans="2:9" x14ac:dyDescent="0.2">
      <c r="B111" s="39" t="s">
        <v>58</v>
      </c>
      <c r="C111" s="39" t="s">
        <v>59</v>
      </c>
      <c r="D111" s="45">
        <v>150</v>
      </c>
      <c r="E111" s="49">
        <v>100</v>
      </c>
      <c r="F111" s="3">
        <v>30</v>
      </c>
      <c r="G111" s="3">
        <v>150</v>
      </c>
      <c r="H111" s="3"/>
      <c r="I111" s="4"/>
    </row>
    <row r="112" spans="2:9" x14ac:dyDescent="0.2">
      <c r="B112" s="39" t="s">
        <v>60</v>
      </c>
      <c r="C112" s="39" t="s">
        <v>61</v>
      </c>
      <c r="D112" s="45">
        <v>0</v>
      </c>
      <c r="E112" s="49">
        <v>187.25</v>
      </c>
      <c r="F112" s="3">
        <v>0</v>
      </c>
      <c r="G112" s="3">
        <v>0</v>
      </c>
      <c r="H112" s="3" t="s">
        <v>186</v>
      </c>
      <c r="I112" s="4"/>
    </row>
    <row r="113" spans="2:9" x14ac:dyDescent="0.2">
      <c r="B113" s="39" t="s">
        <v>62</v>
      </c>
      <c r="C113" s="39" t="s">
        <v>63</v>
      </c>
      <c r="D113" s="45">
        <v>30</v>
      </c>
      <c r="E113" s="49">
        <v>37.380000000000003</v>
      </c>
      <c r="F113" s="3">
        <v>0</v>
      </c>
      <c r="G113" s="3">
        <v>30</v>
      </c>
      <c r="H113" s="3"/>
      <c r="I113" s="4"/>
    </row>
    <row r="114" spans="2:9" x14ac:dyDescent="0.2">
      <c r="B114" s="39">
        <v>7179</v>
      </c>
      <c r="C114" s="39" t="s">
        <v>112</v>
      </c>
      <c r="D114" s="45">
        <v>300</v>
      </c>
      <c r="E114" s="49">
        <v>50</v>
      </c>
      <c r="F114" s="3">
        <v>50</v>
      </c>
      <c r="G114" s="3">
        <v>500</v>
      </c>
      <c r="H114" s="3"/>
      <c r="I114" s="4"/>
    </row>
    <row r="115" spans="2:9" x14ac:dyDescent="0.2">
      <c r="B115" s="39" t="s">
        <v>66</v>
      </c>
      <c r="C115" s="39" t="s">
        <v>67</v>
      </c>
      <c r="D115" s="49">
        <v>140</v>
      </c>
      <c r="E115" s="49">
        <v>85.8</v>
      </c>
      <c r="F115" s="3">
        <v>40</v>
      </c>
      <c r="G115" s="3">
        <v>140</v>
      </c>
      <c r="H115" s="3"/>
      <c r="I115" s="4"/>
    </row>
    <row r="116" spans="2:9" x14ac:dyDescent="0.2">
      <c r="B116" s="39">
        <v>7181</v>
      </c>
      <c r="C116" s="39" t="s">
        <v>98</v>
      </c>
      <c r="D116" s="49">
        <v>2800</v>
      </c>
      <c r="E116" s="49">
        <v>2618.87</v>
      </c>
      <c r="F116" s="3">
        <v>0</v>
      </c>
      <c r="G116" s="3">
        <v>2800</v>
      </c>
      <c r="H116" s="3"/>
      <c r="I116" s="4"/>
    </row>
    <row r="117" spans="2:9" x14ac:dyDescent="0.2">
      <c r="B117" s="39">
        <v>7182</v>
      </c>
      <c r="C117" s="39" t="s">
        <v>93</v>
      </c>
      <c r="D117" s="49">
        <v>10</v>
      </c>
      <c r="E117" s="49">
        <v>0</v>
      </c>
      <c r="F117" s="3">
        <v>10</v>
      </c>
      <c r="G117" s="3">
        <v>10</v>
      </c>
    </row>
    <row r="118" spans="2:9" x14ac:dyDescent="0.2">
      <c r="B118" s="39">
        <v>7183</v>
      </c>
      <c r="C118" s="39" t="s">
        <v>171</v>
      </c>
      <c r="D118" s="49">
        <v>0</v>
      </c>
      <c r="E118" s="49">
        <v>0</v>
      </c>
      <c r="F118" s="3">
        <v>0</v>
      </c>
      <c r="G118" s="3">
        <v>0</v>
      </c>
    </row>
    <row r="119" spans="2:9" x14ac:dyDescent="0.2">
      <c r="B119" s="39">
        <v>7185</v>
      </c>
      <c r="C119" s="39" t="s">
        <v>201</v>
      </c>
      <c r="D119" s="49">
        <v>0</v>
      </c>
      <c r="E119" s="58">
        <v>3000</v>
      </c>
      <c r="F119" s="3">
        <v>0</v>
      </c>
      <c r="G119" s="3">
        <v>3000</v>
      </c>
      <c r="H119" s="3"/>
      <c r="I119" s="4"/>
    </row>
    <row r="120" spans="2:9" x14ac:dyDescent="0.2">
      <c r="B120" s="39" t="s">
        <v>68</v>
      </c>
      <c r="C120" s="39" t="s">
        <v>69</v>
      </c>
      <c r="D120" s="45">
        <v>1200</v>
      </c>
      <c r="E120" s="49">
        <v>399.3</v>
      </c>
      <c r="F120" s="3">
        <v>630</v>
      </c>
      <c r="G120" s="3">
        <v>1200</v>
      </c>
    </row>
    <row r="121" spans="2:9" x14ac:dyDescent="0.2">
      <c r="B121" s="39" t="s">
        <v>70</v>
      </c>
      <c r="C121" s="39" t="s">
        <v>71</v>
      </c>
      <c r="D121" s="45">
        <v>32500</v>
      </c>
      <c r="E121" s="49">
        <v>19358.12</v>
      </c>
      <c r="F121" s="3">
        <v>7400</v>
      </c>
      <c r="G121" s="3">
        <v>23100</v>
      </c>
      <c r="H121" s="3"/>
      <c r="I121" s="4"/>
    </row>
    <row r="122" spans="2:9" x14ac:dyDescent="0.2">
      <c r="B122" s="39" t="s">
        <v>72</v>
      </c>
      <c r="C122" s="39" t="s">
        <v>73</v>
      </c>
      <c r="D122" s="45">
        <v>10000</v>
      </c>
      <c r="E122" s="49">
        <v>5348.66</v>
      </c>
      <c r="F122" s="3">
        <v>2010</v>
      </c>
      <c r="G122" s="3">
        <v>6700</v>
      </c>
      <c r="H122" s="3"/>
      <c r="I122" s="4"/>
    </row>
    <row r="123" spans="2:9" x14ac:dyDescent="0.2">
      <c r="B123" s="39" t="s">
        <v>74</v>
      </c>
      <c r="C123" s="39" t="s">
        <v>75</v>
      </c>
      <c r="D123" s="45">
        <v>13330</v>
      </c>
      <c r="E123" s="49">
        <v>8922.56</v>
      </c>
      <c r="F123" s="3">
        <v>2110</v>
      </c>
      <c r="G123" s="3">
        <v>8000</v>
      </c>
      <c r="H123" s="3"/>
      <c r="I123" s="4"/>
    </row>
    <row r="124" spans="2:9" x14ac:dyDescent="0.2">
      <c r="B124" s="39" t="s">
        <v>76</v>
      </c>
      <c r="C124" s="39" t="s">
        <v>77</v>
      </c>
      <c r="D124" s="45">
        <v>600</v>
      </c>
      <c r="E124" s="49">
        <v>450</v>
      </c>
      <c r="F124" s="3">
        <v>150</v>
      </c>
      <c r="G124" s="3">
        <v>0</v>
      </c>
      <c r="H124" s="3"/>
      <c r="I124" s="4"/>
    </row>
    <row r="125" spans="2:9" x14ac:dyDescent="0.2">
      <c r="B125" s="39">
        <v>7205</v>
      </c>
      <c r="C125" s="39" t="s">
        <v>209</v>
      </c>
      <c r="D125" s="45">
        <v>0</v>
      </c>
      <c r="E125" s="49">
        <v>0</v>
      </c>
      <c r="F125" s="3">
        <v>0</v>
      </c>
      <c r="G125" s="3">
        <v>1000</v>
      </c>
      <c r="H125" s="3"/>
      <c r="I125" s="4"/>
    </row>
    <row r="126" spans="2:9" ht="15" x14ac:dyDescent="0.35">
      <c r="B126" s="39"/>
      <c r="C126" s="39"/>
      <c r="D126" s="50"/>
      <c r="E126" s="63"/>
      <c r="F126" s="51"/>
      <c r="G126" s="51"/>
    </row>
    <row r="127" spans="2:9" x14ac:dyDescent="0.2">
      <c r="C127" s="2" t="s">
        <v>83</v>
      </c>
      <c r="D127" s="52">
        <f>SUM(D99:D126)</f>
        <v>94195</v>
      </c>
      <c r="E127" s="64">
        <f>SUM(E99:E126)</f>
        <v>68651.460000000006</v>
      </c>
      <c r="F127" s="52">
        <f>SUM(F99:F125)</f>
        <v>41225</v>
      </c>
      <c r="G127" s="52">
        <f>SUM(G99:G125)</f>
        <v>70280</v>
      </c>
      <c r="H127" s="3"/>
      <c r="I127" s="4"/>
    </row>
    <row r="128" spans="2:9" x14ac:dyDescent="0.2">
      <c r="C128" s="2"/>
      <c r="D128" s="3"/>
      <c r="F128" s="3"/>
      <c r="G128" s="3"/>
      <c r="H128" s="3"/>
      <c r="I128" s="4"/>
    </row>
    <row r="129" spans="3:9" x14ac:dyDescent="0.2">
      <c r="D129" s="37"/>
      <c r="G129" s="3"/>
      <c r="H129" s="3"/>
      <c r="I129" s="4"/>
    </row>
    <row r="130" spans="3:9" x14ac:dyDescent="0.2">
      <c r="C130" s="2" t="s">
        <v>91</v>
      </c>
      <c r="D130" s="37">
        <f>SUM(D127,D97,D95,D91,D87,D83,D81,D76,D61,D51)</f>
        <v>222225</v>
      </c>
      <c r="E130" s="37">
        <f>SUM(E127,E97,E95,E91,E93,E87,E83,E81,E76,E61,E55,E51)</f>
        <v>146845.4</v>
      </c>
      <c r="F130" s="37">
        <f>F127+F97+F95+F91+F87+F83+F81+F76+F61+F53+F51</f>
        <v>113965</v>
      </c>
      <c r="G130" s="37">
        <f>SUM(G127,G97,G95,G91,G87,G83,G81,G76,G61,G53,G51)</f>
        <v>194785</v>
      </c>
    </row>
    <row r="131" spans="3:9" x14ac:dyDescent="0.2">
      <c r="D131" s="37"/>
    </row>
    <row r="132" spans="3:9" x14ac:dyDescent="0.2">
      <c r="D132" s="37"/>
    </row>
    <row r="133" spans="3:9" x14ac:dyDescent="0.2">
      <c r="D133" s="37"/>
    </row>
    <row r="134" spans="3:9" x14ac:dyDescent="0.2">
      <c r="D134" s="53" t="s">
        <v>154</v>
      </c>
      <c r="E134" s="65" t="s">
        <v>92</v>
      </c>
      <c r="F134" s="54" t="s">
        <v>155</v>
      </c>
    </row>
    <row r="135" spans="3:9" x14ac:dyDescent="0.2">
      <c r="D135" s="53"/>
      <c r="E135" s="65"/>
      <c r="F135" s="54"/>
    </row>
    <row r="136" spans="3:9" x14ac:dyDescent="0.2">
      <c r="C136" s="5" t="s">
        <v>213</v>
      </c>
      <c r="D136" s="70">
        <v>97266.25</v>
      </c>
      <c r="E136" s="71">
        <v>90062.37</v>
      </c>
      <c r="F136" s="3">
        <f>SUM(D136:E136)</f>
        <v>187328.62</v>
      </c>
    </row>
    <row r="137" spans="3:9" x14ac:dyDescent="0.2">
      <c r="C137" s="5" t="s">
        <v>183</v>
      </c>
      <c r="D137" s="3">
        <f>F35</f>
        <v>36420.68</v>
      </c>
      <c r="E137" s="49">
        <v>0</v>
      </c>
      <c r="F137" s="3">
        <f>SUM(D137:E137)</f>
        <v>36420.68</v>
      </c>
    </row>
    <row r="138" spans="3:9" x14ac:dyDescent="0.2">
      <c r="C138" s="5" t="s">
        <v>192</v>
      </c>
      <c r="D138" s="3">
        <f>F130-E138</f>
        <v>65965</v>
      </c>
      <c r="E138" s="49">
        <f>F83+F53</f>
        <v>48000</v>
      </c>
      <c r="F138" s="3">
        <f>SUM(D138:E138)</f>
        <v>113965</v>
      </c>
    </row>
    <row r="139" spans="3:9" x14ac:dyDescent="0.2">
      <c r="C139" s="72"/>
      <c r="D139" s="37"/>
    </row>
    <row r="140" spans="3:9" x14ac:dyDescent="0.2">
      <c r="C140" s="1" t="s">
        <v>184</v>
      </c>
      <c r="D140" s="37">
        <f>SUM(D136:D137)-D138</f>
        <v>67721.929999999993</v>
      </c>
      <c r="E140" s="56">
        <f>SUM(E136:E137)-E138</f>
        <v>42062.369999999995</v>
      </c>
      <c r="F140" s="37">
        <f>SUM(D140:E140)</f>
        <v>109784.29999999999</v>
      </c>
    </row>
    <row r="141" spans="3:9" x14ac:dyDescent="0.2">
      <c r="D141" s="37"/>
    </row>
    <row r="142" spans="3:9" x14ac:dyDescent="0.2">
      <c r="C142" s="2" t="s">
        <v>218</v>
      </c>
      <c r="D142" s="37"/>
    </row>
    <row r="143" spans="3:9" x14ac:dyDescent="0.2">
      <c r="C143" s="55" t="s">
        <v>193</v>
      </c>
      <c r="D143" s="3">
        <f>D140</f>
        <v>67721.929999999993</v>
      </c>
      <c r="E143" s="49">
        <f>E140</f>
        <v>42062.369999999995</v>
      </c>
      <c r="F143" s="3">
        <f>F140</f>
        <v>109784.29999999999</v>
      </c>
    </row>
    <row r="144" spans="3:9" x14ac:dyDescent="0.2">
      <c r="C144" s="55" t="s">
        <v>194</v>
      </c>
      <c r="D144" s="3">
        <f>G35</f>
        <v>178171.15</v>
      </c>
      <c r="E144" s="49">
        <v>0</v>
      </c>
      <c r="F144" s="3">
        <f>SUM(D144:E144)</f>
        <v>178171.15</v>
      </c>
    </row>
    <row r="145" spans="3:8" x14ac:dyDescent="0.2">
      <c r="C145" s="55" t="s">
        <v>195</v>
      </c>
      <c r="D145" s="3">
        <f>G130-SUM(G53+G93)</f>
        <v>144785</v>
      </c>
      <c r="E145" s="49">
        <v>50000</v>
      </c>
      <c r="F145" s="3">
        <f>SUM(D145:E145)</f>
        <v>194785</v>
      </c>
    </row>
    <row r="146" spans="3:8" x14ac:dyDescent="0.2">
      <c r="C146" s="55"/>
      <c r="D146" s="3"/>
      <c r="G146" s="49" t="s">
        <v>86</v>
      </c>
    </row>
    <row r="147" spans="3:8" x14ac:dyDescent="0.2">
      <c r="C147" s="55" t="s">
        <v>196</v>
      </c>
      <c r="D147" s="37">
        <f>SUM(D143:D144)-D145</f>
        <v>101108.07999999999</v>
      </c>
      <c r="E147" s="56">
        <f>SUM(E143:E144)-E145</f>
        <v>-7937.6300000000047</v>
      </c>
      <c r="F147" s="37">
        <f>SUM(D147:E147)</f>
        <v>93170.449999999983</v>
      </c>
      <c r="G147" s="76">
        <f>F140-F147</f>
        <v>16613.850000000006</v>
      </c>
      <c r="H147" s="49"/>
    </row>
    <row r="148" spans="3:8" x14ac:dyDescent="0.2">
      <c r="C148" s="55"/>
      <c r="D148" s="37"/>
      <c r="G148" s="69"/>
    </row>
    <row r="149" spans="3:8" x14ac:dyDescent="0.2">
      <c r="C149" s="2"/>
      <c r="D149" s="37"/>
      <c r="G149" s="69"/>
    </row>
    <row r="150" spans="3:8" x14ac:dyDescent="0.2">
      <c r="C150" s="55"/>
      <c r="D150" s="3"/>
      <c r="F150" s="3"/>
      <c r="G150" s="69"/>
    </row>
    <row r="151" spans="3:8" x14ac:dyDescent="0.2">
      <c r="C151" s="55"/>
      <c r="D151" s="3"/>
      <c r="F151" s="3"/>
      <c r="G151" s="69"/>
    </row>
    <row r="152" spans="3:8" x14ac:dyDescent="0.2">
      <c r="C152" s="55"/>
      <c r="D152" s="3"/>
      <c r="F152" s="3"/>
      <c r="G152" s="69"/>
    </row>
    <row r="153" spans="3:8" x14ac:dyDescent="0.2">
      <c r="C153" s="55"/>
      <c r="D153" s="3"/>
      <c r="G153" s="49"/>
    </row>
    <row r="154" spans="3:8" x14ac:dyDescent="0.2">
      <c r="C154" s="55"/>
      <c r="D154" s="37"/>
      <c r="E154" s="56"/>
      <c r="F154" s="37"/>
      <c r="G154" s="49"/>
      <c r="H154" s="49"/>
    </row>
    <row r="155" spans="3:8" x14ac:dyDescent="0.2">
      <c r="G155" s="69"/>
    </row>
    <row r="156" spans="3:8" x14ac:dyDescent="0.2">
      <c r="C156" s="2"/>
      <c r="D156" s="37"/>
      <c r="G156" s="69"/>
    </row>
    <row r="157" spans="3:8" x14ac:dyDescent="0.2">
      <c r="C157" s="55"/>
      <c r="D157" s="3"/>
      <c r="F157" s="3"/>
      <c r="G157" s="69"/>
    </row>
    <row r="158" spans="3:8" x14ac:dyDescent="0.2">
      <c r="C158" s="55"/>
      <c r="D158" s="3"/>
      <c r="F158" s="3"/>
      <c r="G158" s="69"/>
    </row>
    <row r="159" spans="3:8" x14ac:dyDescent="0.2">
      <c r="C159" s="55"/>
      <c r="D159" s="3"/>
      <c r="F159" s="3"/>
      <c r="G159" s="69"/>
    </row>
    <row r="160" spans="3:8" x14ac:dyDescent="0.2">
      <c r="C160" s="55"/>
      <c r="D160" s="3"/>
      <c r="G160" s="49"/>
    </row>
    <row r="161" spans="3:7" x14ac:dyDescent="0.2">
      <c r="C161" s="55"/>
      <c r="D161" s="37"/>
      <c r="E161" s="56"/>
      <c r="F161" s="37"/>
      <c r="G161" s="49"/>
    </row>
    <row r="162" spans="3:7" x14ac:dyDescent="0.2">
      <c r="G162" s="69"/>
    </row>
    <row r="163" spans="3:7" x14ac:dyDescent="0.2">
      <c r="G163" s="69"/>
    </row>
  </sheetData>
  <pageMargins left="0.7" right="0.7" top="0.75" bottom="0.75" header="0.3" footer="0.3"/>
  <pageSetup paperSize="9" scale="50" fitToHeight="0" orientation="portrait" horizontalDpi="4294967293" verticalDpi="0" r:id="rId1"/>
  <headerFooter>
    <oddHeader>&amp;C&amp;"Tahoma,Regular"&amp;10Wrotham Parish Council
Budget Requirement 2026-27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D3626B-BDB3-4056-9478-2CD314233E45}">
  <dimension ref="A1:F39"/>
  <sheetViews>
    <sheetView topLeftCell="A18" zoomScale="110" zoomScaleNormal="110" workbookViewId="0">
      <selection activeCell="D33" sqref="D33"/>
    </sheetView>
  </sheetViews>
  <sheetFormatPr defaultRowHeight="15" x14ac:dyDescent="0.25"/>
  <cols>
    <col min="1" max="1" width="32.7109375" customWidth="1"/>
    <col min="4" max="4" width="18.7109375" customWidth="1"/>
    <col min="6" max="6" width="12.5703125" bestFit="1" customWidth="1"/>
  </cols>
  <sheetData>
    <row r="1" spans="1:6" x14ac:dyDescent="0.25">
      <c r="A1" t="s">
        <v>126</v>
      </c>
    </row>
    <row r="2" spans="1:6" x14ac:dyDescent="0.25">
      <c r="A2" t="s">
        <v>127</v>
      </c>
    </row>
    <row r="4" spans="1:6" ht="15.75" x14ac:dyDescent="0.25">
      <c r="A4" s="73" t="s">
        <v>128</v>
      </c>
      <c r="B4" s="73"/>
      <c r="C4" s="73"/>
      <c r="D4" s="73"/>
      <c r="E4" s="73"/>
      <c r="F4" s="73"/>
    </row>
    <row r="5" spans="1:6" x14ac:dyDescent="0.25">
      <c r="A5" s="6" t="s">
        <v>129</v>
      </c>
    </row>
    <row r="6" spans="1:6" x14ac:dyDescent="0.25">
      <c r="A6" s="74" t="s">
        <v>211</v>
      </c>
      <c r="B6" s="74"/>
      <c r="C6" s="74"/>
      <c r="D6" s="74"/>
      <c r="E6" s="74"/>
    </row>
    <row r="7" spans="1:6" x14ac:dyDescent="0.25">
      <c r="A7" s="7"/>
      <c r="B7" s="7"/>
      <c r="C7" s="7"/>
      <c r="D7" s="7"/>
      <c r="E7" s="11"/>
      <c r="F7" s="12"/>
    </row>
    <row r="8" spans="1:6" x14ac:dyDescent="0.25">
      <c r="A8" s="13" t="s">
        <v>130</v>
      </c>
      <c r="B8" s="5"/>
      <c r="C8" s="5"/>
      <c r="D8" s="14"/>
      <c r="E8" s="5"/>
      <c r="F8" s="5"/>
    </row>
    <row r="9" spans="1:6" x14ac:dyDescent="0.25">
      <c r="A9" s="13" t="s">
        <v>131</v>
      </c>
      <c r="B9" s="5"/>
      <c r="C9" s="5"/>
      <c r="D9" s="14">
        <f>'Income &amp; Expenditure Estimates'!G81</f>
        <v>3700</v>
      </c>
      <c r="E9" s="5"/>
    </row>
    <row r="10" spans="1:6" x14ac:dyDescent="0.25">
      <c r="A10" s="13" t="s">
        <v>84</v>
      </c>
      <c r="B10" s="5"/>
      <c r="C10" s="5"/>
      <c r="D10" s="14">
        <f>'Income &amp; Expenditure Estimates'!G91</f>
        <v>1500</v>
      </c>
      <c r="E10" s="5"/>
    </row>
    <row r="11" spans="1:6" x14ac:dyDescent="0.25">
      <c r="A11" s="13" t="s">
        <v>132</v>
      </c>
      <c r="B11" s="5"/>
      <c r="C11" s="5"/>
      <c r="D11" s="14">
        <f>'Income &amp; Expenditure Estimates'!G76</f>
        <v>62475</v>
      </c>
      <c r="E11" s="5"/>
    </row>
    <row r="12" spans="1:6" x14ac:dyDescent="0.25">
      <c r="A12" s="13" t="s">
        <v>133</v>
      </c>
      <c r="B12" s="5"/>
      <c r="C12" s="5"/>
      <c r="D12" s="14">
        <f>'Income &amp; Expenditure Estimates'!G97</f>
        <v>3250</v>
      </c>
      <c r="E12" s="5"/>
    </row>
    <row r="13" spans="1:6" x14ac:dyDescent="0.25">
      <c r="A13" s="13" t="s">
        <v>212</v>
      </c>
      <c r="B13" s="5"/>
      <c r="C13" s="5"/>
      <c r="D13" s="14">
        <f>'Income &amp; Expenditure Estimates'!G51+'Income &amp; Expenditure Estimates'!G53</f>
        <v>32780</v>
      </c>
      <c r="E13" s="5"/>
      <c r="F13" s="5"/>
    </row>
    <row r="14" spans="1:6" x14ac:dyDescent="0.25">
      <c r="A14" s="13" t="s">
        <v>134</v>
      </c>
      <c r="B14" s="5"/>
      <c r="C14" s="5"/>
      <c r="D14" s="14">
        <f>'Income &amp; Expenditure Estimates'!G61</f>
        <v>11500</v>
      </c>
      <c r="E14" s="5"/>
    </row>
    <row r="15" spans="1:6" x14ac:dyDescent="0.25">
      <c r="A15" s="13" t="s">
        <v>135</v>
      </c>
      <c r="B15" s="5"/>
      <c r="C15" s="5"/>
      <c r="D15" s="14">
        <f>'Income &amp; Expenditure Estimates'!G87</f>
        <v>2800</v>
      </c>
      <c r="E15" s="5"/>
    </row>
    <row r="16" spans="1:6" x14ac:dyDescent="0.25">
      <c r="A16" s="13" t="s">
        <v>136</v>
      </c>
      <c r="B16" s="5"/>
      <c r="C16" s="5"/>
      <c r="D16" s="14">
        <v>0</v>
      </c>
      <c r="E16" s="5"/>
    </row>
    <row r="17" spans="1:6" x14ac:dyDescent="0.25">
      <c r="A17" s="13" t="s">
        <v>137</v>
      </c>
      <c r="B17" s="5"/>
      <c r="C17" s="5"/>
      <c r="D17" s="14">
        <f>'Income &amp; Expenditure Estimates'!G127</f>
        <v>70280</v>
      </c>
      <c r="E17" s="14"/>
      <c r="F17" s="15"/>
    </row>
    <row r="18" spans="1:6" x14ac:dyDescent="0.25">
      <c r="A18" s="13" t="s">
        <v>85</v>
      </c>
      <c r="B18" s="5"/>
      <c r="C18" s="5"/>
      <c r="D18" s="14">
        <f>'Income &amp; Expenditure Estimates'!G95+'Income &amp; Expenditure Estimates'!G83</f>
        <v>6500</v>
      </c>
      <c r="E18" s="14"/>
      <c r="F18" s="15"/>
    </row>
    <row r="19" spans="1:6" x14ac:dyDescent="0.25">
      <c r="A19" s="13" t="s">
        <v>138</v>
      </c>
      <c r="B19" s="5"/>
      <c r="C19" s="5"/>
      <c r="D19" s="14">
        <f>'Income &amp; Expenditure Estimates'!G118</f>
        <v>0</v>
      </c>
      <c r="E19" s="5"/>
    </row>
    <row r="20" spans="1:6" x14ac:dyDescent="0.25">
      <c r="A20" s="13"/>
      <c r="B20" s="5"/>
      <c r="C20" s="5"/>
      <c r="D20" s="14"/>
      <c r="E20" s="5"/>
    </row>
    <row r="21" spans="1:6" x14ac:dyDescent="0.25">
      <c r="A21" s="16" t="s">
        <v>139</v>
      </c>
      <c r="B21" s="5"/>
      <c r="C21" s="5"/>
      <c r="D21" s="14">
        <f>SUM(D9:D19)</f>
        <v>194785</v>
      </c>
      <c r="E21" s="5"/>
    </row>
    <row r="22" spans="1:6" x14ac:dyDescent="0.25">
      <c r="A22" s="16"/>
      <c r="B22" s="5"/>
      <c r="C22" s="5"/>
      <c r="D22" s="14"/>
      <c r="E22" s="5"/>
    </row>
    <row r="23" spans="1:6" x14ac:dyDescent="0.25">
      <c r="A23" s="13" t="s">
        <v>140</v>
      </c>
      <c r="B23" s="5"/>
      <c r="C23" s="5"/>
      <c r="D23" s="14"/>
      <c r="E23" s="5"/>
      <c r="F23" s="5"/>
    </row>
    <row r="24" spans="1:6" x14ac:dyDescent="0.25">
      <c r="A24" s="13"/>
      <c r="B24" s="5"/>
      <c r="C24" s="5"/>
      <c r="D24" s="14"/>
      <c r="E24" s="5"/>
      <c r="F24" s="5"/>
    </row>
    <row r="25" spans="1:6" x14ac:dyDescent="0.25">
      <c r="A25" s="13" t="s">
        <v>141</v>
      </c>
      <c r="B25" s="5"/>
      <c r="C25" s="5"/>
      <c r="D25" s="14"/>
      <c r="E25" s="5"/>
    </row>
    <row r="26" spans="1:6" x14ac:dyDescent="0.25">
      <c r="A26" s="13" t="s">
        <v>90</v>
      </c>
      <c r="B26" s="5"/>
      <c r="C26" s="5"/>
      <c r="D26" s="14">
        <f>'Income &amp; Expenditure Estimates'!G29</f>
        <v>1600</v>
      </c>
      <c r="E26" s="5"/>
    </row>
    <row r="27" spans="1:6" x14ac:dyDescent="0.25">
      <c r="A27" s="13" t="s">
        <v>105</v>
      </c>
      <c r="B27" s="5"/>
      <c r="C27" s="5"/>
      <c r="D27" s="14">
        <f>'Income &amp; Expenditure Estimates'!G30</f>
        <v>1.1499999999999999</v>
      </c>
      <c r="E27" s="5"/>
    </row>
    <row r="28" spans="1:6" x14ac:dyDescent="0.25">
      <c r="A28" s="13" t="s">
        <v>81</v>
      </c>
      <c r="B28" s="5"/>
      <c r="C28" s="5"/>
      <c r="D28" s="14">
        <f>'Income &amp; Expenditure Estimates'!G22</f>
        <v>1822</v>
      </c>
      <c r="E28" s="5"/>
    </row>
    <row r="29" spans="1:6" x14ac:dyDescent="0.25">
      <c r="A29" s="13" t="s">
        <v>142</v>
      </c>
      <c r="B29" s="5"/>
      <c r="C29" s="5"/>
      <c r="D29" s="14">
        <f>'Income &amp; Expenditure Estimates'!G13</f>
        <v>2500</v>
      </c>
      <c r="E29" s="5"/>
    </row>
    <row r="30" spans="1:6" x14ac:dyDescent="0.25">
      <c r="A30" s="13" t="s">
        <v>143</v>
      </c>
      <c r="B30" s="5"/>
      <c r="C30" s="5"/>
      <c r="D30" s="14">
        <f>'Income &amp; Expenditure Estimates'!G10</f>
        <v>3000</v>
      </c>
      <c r="E30" s="5"/>
    </row>
    <row r="31" spans="1:6" x14ac:dyDescent="0.25">
      <c r="A31" s="13" t="s">
        <v>187</v>
      </c>
      <c r="B31" s="5"/>
      <c r="C31" s="5"/>
      <c r="D31" s="14">
        <f>'Income &amp; Expenditure Estimates'!G17</f>
        <v>13713</v>
      </c>
      <c r="E31" s="5"/>
    </row>
    <row r="32" spans="1:6" x14ac:dyDescent="0.25">
      <c r="A32" s="13" t="s">
        <v>158</v>
      </c>
      <c r="B32" s="5"/>
      <c r="C32" s="5"/>
      <c r="D32" s="14">
        <f>'Income &amp; Expenditure Estimates'!G24</f>
        <v>2000</v>
      </c>
      <c r="E32" s="5"/>
      <c r="F32" s="15"/>
    </row>
    <row r="33" spans="1:6" x14ac:dyDescent="0.25">
      <c r="A33" s="13" t="s">
        <v>86</v>
      </c>
      <c r="B33" s="5"/>
      <c r="C33" s="5"/>
      <c r="D33" s="75">
        <f>'Income &amp; Expenditure Estimates'!G147</f>
        <v>16613.850000000006</v>
      </c>
      <c r="E33" s="5"/>
      <c r="F33" s="15"/>
    </row>
    <row r="34" spans="1:6" x14ac:dyDescent="0.25">
      <c r="A34" s="13"/>
      <c r="B34" s="5"/>
      <c r="C34" s="5"/>
      <c r="D34" s="14"/>
      <c r="E34" s="13"/>
      <c r="F34" s="15"/>
    </row>
    <row r="35" spans="1:6" x14ac:dyDescent="0.25">
      <c r="A35" s="13" t="s">
        <v>144</v>
      </c>
      <c r="B35" s="5"/>
      <c r="C35" s="5"/>
      <c r="D35" s="17">
        <f>D21-SUM(D24:D33)</f>
        <v>153535</v>
      </c>
      <c r="E35" s="17"/>
      <c r="F35" s="18"/>
    </row>
    <row r="36" spans="1:6" x14ac:dyDescent="0.25">
      <c r="A36" s="13"/>
      <c r="B36" s="5"/>
      <c r="C36" s="5"/>
      <c r="D36" s="5"/>
      <c r="E36" s="5"/>
    </row>
    <row r="37" spans="1:6" x14ac:dyDescent="0.25">
      <c r="A37" s="13"/>
      <c r="B37" s="5"/>
      <c r="C37" s="5"/>
      <c r="D37" s="14"/>
      <c r="E37" s="5"/>
    </row>
    <row r="39" spans="1:6" x14ac:dyDescent="0.25">
      <c r="D39" s="15"/>
    </row>
  </sheetData>
  <mergeCells count="2">
    <mergeCell ref="A4:F4"/>
    <mergeCell ref="A6:E6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E8A147-22C4-4537-B8F4-0ADD7A33F6B6}">
  <sheetPr>
    <pageSetUpPr fitToPage="1"/>
  </sheetPr>
  <dimension ref="A1:T29"/>
  <sheetViews>
    <sheetView topLeftCell="A4" workbookViewId="0">
      <selection activeCell="P17" sqref="P17"/>
    </sheetView>
  </sheetViews>
  <sheetFormatPr defaultRowHeight="15" x14ac:dyDescent="0.25"/>
  <sheetData>
    <row r="1" spans="1:19" x14ac:dyDescent="0.25">
      <c r="A1" s="8" t="s">
        <v>145</v>
      </c>
      <c r="D1" s="8" t="s">
        <v>104</v>
      </c>
      <c r="E1" s="8"/>
      <c r="G1" s="8" t="s">
        <v>157</v>
      </c>
      <c r="H1" s="8"/>
      <c r="J1" s="8" t="s">
        <v>161</v>
      </c>
      <c r="K1" s="8"/>
    </row>
    <row r="3" spans="1:19" x14ac:dyDescent="0.25">
      <c r="A3" s="20">
        <v>94294</v>
      </c>
      <c r="B3" s="19">
        <v>0.05</v>
      </c>
      <c r="D3" s="21">
        <v>101797</v>
      </c>
      <c r="E3" s="19">
        <v>0.05</v>
      </c>
      <c r="G3" s="21">
        <v>108276</v>
      </c>
      <c r="H3" s="19">
        <v>0.05</v>
      </c>
      <c r="J3" s="21">
        <v>114871</v>
      </c>
      <c r="K3" s="19">
        <v>0.05</v>
      </c>
    </row>
    <row r="5" spans="1:19" x14ac:dyDescent="0.25">
      <c r="A5" t="s">
        <v>146</v>
      </c>
      <c r="B5" s="22">
        <f>A3/920.59/9*6</f>
        <v>68.285193915496222</v>
      </c>
      <c r="D5" t="s">
        <v>146</v>
      </c>
      <c r="E5" s="22">
        <f>D3/946.5/9*6</f>
        <v>71.700651523155486</v>
      </c>
      <c r="G5" t="s">
        <v>146</v>
      </c>
      <c r="H5" s="22">
        <f>G3/958.81/9*6</f>
        <v>75.284988683889409</v>
      </c>
      <c r="J5" t="s">
        <v>146</v>
      </c>
      <c r="K5" s="22">
        <f>J3/968.72/9*6</f>
        <v>79.053458859801253</v>
      </c>
    </row>
    <row r="6" spans="1:19" x14ac:dyDescent="0.25">
      <c r="A6" t="s">
        <v>147</v>
      </c>
      <c r="B6" s="22">
        <f>A3/920.59/9*7</f>
        <v>79.666059568078936</v>
      </c>
      <c r="D6" t="s">
        <v>147</v>
      </c>
      <c r="E6" s="22">
        <f>D3/946.5/9*7</f>
        <v>83.650760110348074</v>
      </c>
      <c r="G6" t="s">
        <v>147</v>
      </c>
      <c r="H6" s="22">
        <f>G3/958.81/9*7</f>
        <v>87.832486797870985</v>
      </c>
      <c r="J6" t="s">
        <v>147</v>
      </c>
      <c r="K6" s="22">
        <f>J3/968.72/9*7</f>
        <v>92.229035336434791</v>
      </c>
    </row>
    <row r="7" spans="1:19" x14ac:dyDescent="0.25">
      <c r="A7" t="s">
        <v>148</v>
      </c>
      <c r="B7" s="22">
        <f>A3/920.59/9*8</f>
        <v>91.046925220661635</v>
      </c>
      <c r="D7" t="s">
        <v>148</v>
      </c>
      <c r="E7" s="22">
        <f>D3/946.5/9*8</f>
        <v>95.600868697540648</v>
      </c>
      <c r="G7" t="s">
        <v>148</v>
      </c>
      <c r="H7" s="22">
        <f>G3/958.81/9*8</f>
        <v>100.37998491185255</v>
      </c>
      <c r="J7" t="s">
        <v>148</v>
      </c>
      <c r="K7" s="22">
        <f>J3/968.72/9*8</f>
        <v>105.40461181306833</v>
      </c>
    </row>
    <row r="8" spans="1:19" x14ac:dyDescent="0.25">
      <c r="A8" t="s">
        <v>149</v>
      </c>
      <c r="B8" s="22">
        <f>A3/920.59</f>
        <v>102.42779087324433</v>
      </c>
      <c r="D8" t="s">
        <v>149</v>
      </c>
      <c r="E8" s="22">
        <f>D3/946.5</f>
        <v>107.55097728473322</v>
      </c>
      <c r="G8" t="s">
        <v>149</v>
      </c>
      <c r="H8" s="22">
        <f>G3/958.81</f>
        <v>112.92748302583411</v>
      </c>
      <c r="J8" t="s">
        <v>149</v>
      </c>
      <c r="K8" s="22">
        <f>J3/968.72</f>
        <v>118.58018828970187</v>
      </c>
    </row>
    <row r="9" spans="1:19" x14ac:dyDescent="0.25">
      <c r="A9" t="s">
        <v>150</v>
      </c>
      <c r="B9" s="22">
        <f>A3/920.59/9*11</f>
        <v>125.18952217840975</v>
      </c>
      <c r="D9" t="s">
        <v>150</v>
      </c>
      <c r="E9" s="22">
        <f>D3/946.5/9*11</f>
        <v>131.4511944591184</v>
      </c>
      <c r="G9" t="s">
        <v>150</v>
      </c>
      <c r="H9" s="22">
        <f>G3/958.81/9*11</f>
        <v>138.02247925379726</v>
      </c>
      <c r="J9" t="s">
        <v>150</v>
      </c>
      <c r="K9" s="22">
        <f>J3/968.72/9*11</f>
        <v>144.93134124296895</v>
      </c>
    </row>
    <row r="10" spans="1:19" x14ac:dyDescent="0.25">
      <c r="A10" t="s">
        <v>151</v>
      </c>
      <c r="B10" s="22">
        <f>A3/920.59/9*13</f>
        <v>147.95125348357516</v>
      </c>
      <c r="D10" t="s">
        <v>151</v>
      </c>
      <c r="E10" s="22">
        <f>D3/946.5/9*13</f>
        <v>155.35141163350355</v>
      </c>
      <c r="G10" t="s">
        <v>151</v>
      </c>
      <c r="H10" s="22">
        <f>G3/958.81/9*13</f>
        <v>163.11747548176038</v>
      </c>
      <c r="J10" t="s">
        <v>151</v>
      </c>
      <c r="K10" s="22">
        <f>J3/968.72/9*13</f>
        <v>171.28249419623603</v>
      </c>
    </row>
    <row r="11" spans="1:19" x14ac:dyDescent="0.25">
      <c r="A11" t="s">
        <v>152</v>
      </c>
      <c r="B11" s="22">
        <f>A3/920.59/9*15</f>
        <v>170.71298478874056</v>
      </c>
      <c r="D11" t="s">
        <v>152</v>
      </c>
      <c r="E11" s="22">
        <f>D3/946.5/9*15</f>
        <v>179.25162880788872</v>
      </c>
      <c r="G11" t="s">
        <v>152</v>
      </c>
      <c r="H11" s="22">
        <f>G3/958.81/9*15</f>
        <v>188.21247170972353</v>
      </c>
      <c r="J11" t="s">
        <v>152</v>
      </c>
      <c r="K11" s="22">
        <f>J3/968.72/9*15</f>
        <v>197.6336471495031</v>
      </c>
    </row>
    <row r="12" spans="1:19" x14ac:dyDescent="0.25">
      <c r="A12" t="s">
        <v>153</v>
      </c>
      <c r="B12" s="22">
        <f>A3/920.59/9*18</f>
        <v>204.85558174648867</v>
      </c>
      <c r="D12" t="s">
        <v>153</v>
      </c>
      <c r="E12" s="22">
        <f>D3/946.5/9*18</f>
        <v>215.10195456946644</v>
      </c>
      <c r="G12" t="s">
        <v>153</v>
      </c>
      <c r="H12" s="22">
        <f>G3/958.81/9*18</f>
        <v>225.85496605166821</v>
      </c>
      <c r="J12" t="s">
        <v>153</v>
      </c>
      <c r="K12" s="22">
        <f>J3/968.72/9*18</f>
        <v>237.16037657940373</v>
      </c>
    </row>
    <row r="15" spans="1:19" x14ac:dyDescent="0.25">
      <c r="A15" s="8" t="s">
        <v>168</v>
      </c>
      <c r="B15" s="8"/>
      <c r="D15" s="8" t="s">
        <v>181</v>
      </c>
      <c r="E15" s="8"/>
      <c r="G15" s="8" t="s">
        <v>182</v>
      </c>
      <c r="H15" s="8"/>
      <c r="J15" s="8" t="s">
        <v>188</v>
      </c>
      <c r="M15" s="8" t="s">
        <v>188</v>
      </c>
      <c r="P15" s="8" t="s">
        <v>188</v>
      </c>
      <c r="S15" s="8"/>
    </row>
    <row r="17" spans="1:20" x14ac:dyDescent="0.25">
      <c r="A17" s="23">
        <v>127225</v>
      </c>
      <c r="B17" s="19">
        <v>0.1</v>
      </c>
      <c r="D17" s="23">
        <v>138337</v>
      </c>
      <c r="E17" s="27">
        <v>7.4999999999999997E-2</v>
      </c>
      <c r="G17" s="23">
        <v>138337</v>
      </c>
      <c r="H17" s="29">
        <v>0.16769999999999999</v>
      </c>
      <c r="J17" s="23">
        <f>K22*856.3</f>
        <v>147220.68952844257</v>
      </c>
      <c r="K17" s="29">
        <v>0.05</v>
      </c>
      <c r="M17" s="23">
        <f>N22*856.3</f>
        <v>150725.94404102454</v>
      </c>
      <c r="N17" s="29">
        <v>7.4999999999999997E-2</v>
      </c>
      <c r="P17" s="23">
        <f>Q22*856.3</f>
        <v>153534.59</v>
      </c>
      <c r="Q17" s="29">
        <v>9.5000000000000001E-2</v>
      </c>
      <c r="S17" s="23"/>
      <c r="T17" s="29"/>
    </row>
    <row r="19" spans="1:20" x14ac:dyDescent="0.25">
      <c r="A19" t="s">
        <v>146</v>
      </c>
      <c r="B19" s="22">
        <f>A17/975.35/9*6</f>
        <v>86.960236496300467</v>
      </c>
      <c r="D19" t="s">
        <v>146</v>
      </c>
      <c r="E19" s="22">
        <f>D17/986.55/9*6</f>
        <v>93.481999560758879</v>
      </c>
      <c r="G19" t="s">
        <v>146</v>
      </c>
      <c r="H19" s="22">
        <f>G17/844.86/9*6</f>
        <v>109.1597029882663</v>
      </c>
      <c r="J19" t="s">
        <v>146</v>
      </c>
      <c r="K19" s="22">
        <f>J17/856.3/9*6</f>
        <v>114.61768813767961</v>
      </c>
      <c r="M19" t="s">
        <v>146</v>
      </c>
      <c r="N19" s="22">
        <f>M17/856.3/9*6</f>
        <v>117.34668071238627</v>
      </c>
      <c r="P19" t="s">
        <v>146</v>
      </c>
      <c r="Q19" s="22">
        <f>P17/856.3/9*6</f>
        <v>119.53333333333335</v>
      </c>
      <c r="T19" s="22"/>
    </row>
    <row r="20" spans="1:20" x14ac:dyDescent="0.25">
      <c r="A20" t="s">
        <v>147</v>
      </c>
      <c r="B20" s="22">
        <f>A17/975.35/9*7</f>
        <v>101.45360924568388</v>
      </c>
      <c r="D20" t="s">
        <v>147</v>
      </c>
      <c r="E20" s="22">
        <f>D17/986.55/9*7</f>
        <v>109.06233282088536</v>
      </c>
      <c r="G20" t="s">
        <v>147</v>
      </c>
      <c r="H20" s="22">
        <f>G17/844.86/9*7</f>
        <v>127.35298681964402</v>
      </c>
      <c r="J20" t="s">
        <v>147</v>
      </c>
      <c r="K20" s="22">
        <f>J17/856.3/9*7</f>
        <v>133.72063616062621</v>
      </c>
      <c r="M20" t="s">
        <v>147</v>
      </c>
      <c r="N20" s="22">
        <f>M17/856.3/9*7</f>
        <v>136.90446083111732</v>
      </c>
      <c r="P20" t="s">
        <v>147</v>
      </c>
      <c r="Q20" s="22">
        <f>P17/856.3/9*7</f>
        <v>139.45555555555558</v>
      </c>
      <c r="T20" s="22"/>
    </row>
    <row r="21" spans="1:20" x14ac:dyDescent="0.25">
      <c r="A21" t="s">
        <v>148</v>
      </c>
      <c r="B21" s="22">
        <f>A17/975.35/9*8</f>
        <v>115.94698199506729</v>
      </c>
      <c r="D21" t="s">
        <v>148</v>
      </c>
      <c r="E21" s="22">
        <f>D17/986.55/9*8</f>
        <v>124.64266608101184</v>
      </c>
      <c r="G21" t="s">
        <v>148</v>
      </c>
      <c r="H21" s="22">
        <f>G17/844.86/9*8</f>
        <v>145.54627065102173</v>
      </c>
      <c r="J21" t="s">
        <v>148</v>
      </c>
      <c r="K21" s="22">
        <f>J17/856.3/9*8</f>
        <v>152.82358418357282</v>
      </c>
      <c r="M21" t="s">
        <v>148</v>
      </c>
      <c r="N21" s="22">
        <f>M17/856.3/9*8</f>
        <v>156.46224094984836</v>
      </c>
      <c r="P21" t="s">
        <v>148</v>
      </c>
      <c r="Q21" s="22">
        <f>P17/856.3/9*8</f>
        <v>159.37777777777779</v>
      </c>
      <c r="T21" s="22"/>
    </row>
    <row r="22" spans="1:20" x14ac:dyDescent="0.25">
      <c r="A22" t="s">
        <v>149</v>
      </c>
      <c r="B22">
        <v>130.44</v>
      </c>
      <c r="D22" t="s">
        <v>149</v>
      </c>
      <c r="E22" s="28">
        <f>D17/986.55</f>
        <v>140.22299934113832</v>
      </c>
      <c r="G22" t="s">
        <v>149</v>
      </c>
      <c r="H22" s="28">
        <f>G17/844.86</f>
        <v>163.73955448239946</v>
      </c>
      <c r="J22" t="s">
        <v>149</v>
      </c>
      <c r="K22" s="28">
        <f>SUM(H22*5%)+H22</f>
        <v>171.92653220651943</v>
      </c>
      <c r="M22" t="s">
        <v>149</v>
      </c>
      <c r="N22" s="28">
        <f>SUM(H22*7.5%)+H22</f>
        <v>176.02002106857941</v>
      </c>
      <c r="P22" t="s">
        <v>149</v>
      </c>
      <c r="Q22" s="28">
        <v>179.3</v>
      </c>
      <c r="T22" s="28"/>
    </row>
    <row r="23" spans="1:20" x14ac:dyDescent="0.25">
      <c r="A23" t="s">
        <v>150</v>
      </c>
      <c r="B23" s="22">
        <f>A17/975.35/9*11</f>
        <v>159.42710024321752</v>
      </c>
      <c r="D23" t="s">
        <v>150</v>
      </c>
      <c r="E23" s="22">
        <f>D17/986.55/9*11</f>
        <v>171.38366586139128</v>
      </c>
      <c r="G23" t="s">
        <v>150</v>
      </c>
      <c r="H23" s="22">
        <f>G17/844.86/9*11</f>
        <v>200.12612214515488</v>
      </c>
      <c r="J23" t="s">
        <v>150</v>
      </c>
      <c r="K23" s="22">
        <f>J17/856.3/9*11</f>
        <v>210.13242825241264</v>
      </c>
      <c r="M23" t="s">
        <v>150</v>
      </c>
      <c r="N23" s="22">
        <f>M17/856.3/9*11</f>
        <v>215.1355813060415</v>
      </c>
      <c r="P23" t="s">
        <v>150</v>
      </c>
      <c r="Q23" s="22">
        <f>P17/856.3/9*11</f>
        <v>219.14444444444447</v>
      </c>
      <c r="T23" s="22"/>
    </row>
    <row r="24" spans="1:20" x14ac:dyDescent="0.25">
      <c r="A24" t="s">
        <v>151</v>
      </c>
      <c r="B24" s="22">
        <f>A17/975.35/9*13</f>
        <v>188.41384574198435</v>
      </c>
      <c r="D24" t="s">
        <v>151</v>
      </c>
      <c r="E24" s="22">
        <f>D17/986.55/9*13</f>
        <v>202.54433238164424</v>
      </c>
      <c r="G24" t="s">
        <v>151</v>
      </c>
      <c r="H24" s="22">
        <f>G17/844.86/9*13</f>
        <v>236.51268980791031</v>
      </c>
      <c r="J24" t="s">
        <v>151</v>
      </c>
      <c r="K24" s="22">
        <f>J17/856.3/9*13</f>
        <v>248.33832429830582</v>
      </c>
      <c r="M24" t="s">
        <v>151</v>
      </c>
      <c r="N24" s="22">
        <f>M17/856.3/9*13</f>
        <v>254.25114154350359</v>
      </c>
      <c r="P24" t="s">
        <v>151</v>
      </c>
      <c r="Q24" s="22">
        <f>P17/856.3/9*13</f>
        <v>258.98888888888894</v>
      </c>
      <c r="T24" s="22"/>
    </row>
    <row r="25" spans="1:20" x14ac:dyDescent="0.25">
      <c r="A25" t="s">
        <v>152</v>
      </c>
      <c r="B25" s="22">
        <f>A17/975.35/9*15</f>
        <v>217.40059124075117</v>
      </c>
      <c r="D25" t="s">
        <v>152</v>
      </c>
      <c r="E25" s="22">
        <f>D17/986.55/9*15</f>
        <v>233.7049989018972</v>
      </c>
      <c r="G25" t="s">
        <v>152</v>
      </c>
      <c r="H25" s="22">
        <f>G17/844.86/9*15</f>
        <v>272.89925747066576</v>
      </c>
      <c r="J25" t="s">
        <v>152</v>
      </c>
      <c r="K25" s="22">
        <f>J17/856.3/9*15</f>
        <v>286.54422034419906</v>
      </c>
      <c r="M25" t="s">
        <v>152</v>
      </c>
      <c r="N25" s="22">
        <f>M17/856.3/9*15</f>
        <v>293.36670178096568</v>
      </c>
      <c r="P25" t="s">
        <v>152</v>
      </c>
      <c r="Q25" s="22">
        <f>P17/856.3/9*15</f>
        <v>298.83333333333337</v>
      </c>
      <c r="T25" s="22"/>
    </row>
    <row r="26" spans="1:20" x14ac:dyDescent="0.25">
      <c r="A26" t="s">
        <v>153</v>
      </c>
      <c r="B26" s="22">
        <f>A17/975.35/9*18</f>
        <v>260.8807094889014</v>
      </c>
      <c r="D26" t="s">
        <v>153</v>
      </c>
      <c r="E26" s="22">
        <f>D17/986.55/9*18</f>
        <v>280.44599868227664</v>
      </c>
      <c r="G26" t="s">
        <v>153</v>
      </c>
      <c r="H26" s="22">
        <f>G17/844.86/9*18</f>
        <v>327.47910896479891</v>
      </c>
      <c r="J26" t="s">
        <v>153</v>
      </c>
      <c r="K26" s="22">
        <f>J17/856.3/9*18</f>
        <v>343.85306441303885</v>
      </c>
      <c r="M26" t="s">
        <v>153</v>
      </c>
      <c r="N26" s="22">
        <f>M17/856.3/9*18</f>
        <v>352.04004213715882</v>
      </c>
      <c r="P26" t="s">
        <v>153</v>
      </c>
      <c r="Q26" s="22">
        <f>P17/856.3/9*18</f>
        <v>358.6</v>
      </c>
      <c r="T26" s="22"/>
    </row>
    <row r="29" spans="1:20" x14ac:dyDescent="0.25">
      <c r="E29" s="30" t="s">
        <v>198</v>
      </c>
    </row>
  </sheetData>
  <pageMargins left="0.7" right="0.7" top="0.75" bottom="0.75" header="0.3" footer="0.3"/>
  <pageSetup paperSize="9" scale="69" fitToHeight="0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19566B-2FBD-4E31-822E-AA62FEF97624}">
  <dimension ref="A1:C36"/>
  <sheetViews>
    <sheetView workbookViewId="0">
      <selection activeCell="B36" sqref="B36"/>
    </sheetView>
  </sheetViews>
  <sheetFormatPr defaultRowHeight="15" x14ac:dyDescent="0.25"/>
  <cols>
    <col min="1" max="1" width="37.85546875" customWidth="1"/>
    <col min="2" max="2" width="22.42578125" customWidth="1"/>
    <col min="3" max="3" width="9.5703125" bestFit="1" customWidth="1"/>
  </cols>
  <sheetData>
    <row r="1" spans="1:3" x14ac:dyDescent="0.25">
      <c r="A1" s="2" t="s">
        <v>205</v>
      </c>
      <c r="B1" s="1"/>
    </row>
    <row r="2" spans="1:3" x14ac:dyDescent="0.25">
      <c r="A2" s="1"/>
      <c r="B2" s="1"/>
    </row>
    <row r="3" spans="1:3" x14ac:dyDescent="0.25">
      <c r="A3" s="1" t="s">
        <v>113</v>
      </c>
      <c r="B3" s="4">
        <v>800</v>
      </c>
      <c r="C3" s="66">
        <f>SUM(B3*0.05)+B3</f>
        <v>840</v>
      </c>
    </row>
    <row r="4" spans="1:3" x14ac:dyDescent="0.25">
      <c r="A4" s="1" t="s">
        <v>114</v>
      </c>
      <c r="B4" s="4">
        <v>60</v>
      </c>
      <c r="C4" s="66">
        <f t="shared" ref="C4:C8" si="0">SUM(B4*0.05)+B4</f>
        <v>63</v>
      </c>
    </row>
    <row r="5" spans="1:3" x14ac:dyDescent="0.25">
      <c r="A5" s="1" t="s">
        <v>115</v>
      </c>
      <c r="B5" s="4">
        <v>200</v>
      </c>
      <c r="C5" s="66">
        <f t="shared" si="0"/>
        <v>210</v>
      </c>
    </row>
    <row r="6" spans="1:3" x14ac:dyDescent="0.25">
      <c r="A6" s="1" t="s">
        <v>116</v>
      </c>
      <c r="B6" s="4">
        <v>20</v>
      </c>
      <c r="C6" s="66">
        <f t="shared" si="0"/>
        <v>21</v>
      </c>
    </row>
    <row r="7" spans="1:3" x14ac:dyDescent="0.25">
      <c r="A7" s="1" t="s">
        <v>159</v>
      </c>
      <c r="B7" s="4">
        <v>80</v>
      </c>
      <c r="C7" s="66">
        <f t="shared" si="0"/>
        <v>84</v>
      </c>
    </row>
    <row r="8" spans="1:3" x14ac:dyDescent="0.25">
      <c r="A8" s="1" t="s">
        <v>117</v>
      </c>
      <c r="B8" s="9">
        <v>550</v>
      </c>
      <c r="C8" s="66">
        <f t="shared" si="0"/>
        <v>577.5</v>
      </c>
    </row>
    <row r="9" spans="1:3" x14ac:dyDescent="0.25">
      <c r="A9" s="1"/>
      <c r="B9" s="3">
        <f>SUM(B3:B8)</f>
        <v>1710</v>
      </c>
      <c r="C9" s="66">
        <f>SUM(C3:C8)</f>
        <v>1795.5</v>
      </c>
    </row>
    <row r="10" spans="1:3" x14ac:dyDescent="0.25">
      <c r="A10" s="1"/>
      <c r="B10" s="1"/>
    </row>
    <row r="11" spans="1:3" x14ac:dyDescent="0.25">
      <c r="A11" s="1"/>
      <c r="B11" s="1"/>
    </row>
    <row r="12" spans="1:3" x14ac:dyDescent="0.25">
      <c r="A12" s="2" t="s">
        <v>206</v>
      </c>
      <c r="B12" s="1"/>
    </row>
    <row r="13" spans="1:3" x14ac:dyDescent="0.25">
      <c r="A13" s="1"/>
      <c r="B13" s="1"/>
    </row>
    <row r="14" spans="1:3" x14ac:dyDescent="0.25">
      <c r="A14" s="1" t="s">
        <v>178</v>
      </c>
      <c r="B14" s="1">
        <v>500</v>
      </c>
    </row>
    <row r="15" spans="1:3" x14ac:dyDescent="0.25">
      <c r="A15" s="1" t="s">
        <v>119</v>
      </c>
      <c r="B15" s="1">
        <v>300</v>
      </c>
    </row>
    <row r="16" spans="1:3" x14ac:dyDescent="0.25">
      <c r="A16" s="1" t="s">
        <v>120</v>
      </c>
      <c r="B16" s="1">
        <v>200</v>
      </c>
    </row>
    <row r="17" spans="1:2" x14ac:dyDescent="0.25">
      <c r="A17" s="1" t="s">
        <v>121</v>
      </c>
      <c r="B17" s="1">
        <v>300</v>
      </c>
    </row>
    <row r="18" spans="1:2" x14ac:dyDescent="0.25">
      <c r="A18" s="1" t="s">
        <v>162</v>
      </c>
      <c r="B18" s="1">
        <v>100</v>
      </c>
    </row>
    <row r="19" spans="1:2" x14ac:dyDescent="0.25">
      <c r="A19" s="1" t="s">
        <v>156</v>
      </c>
      <c r="B19" s="1">
        <v>200</v>
      </c>
    </row>
    <row r="20" spans="1:2" x14ac:dyDescent="0.25">
      <c r="A20" s="1" t="s">
        <v>122</v>
      </c>
      <c r="B20" s="1">
        <v>200</v>
      </c>
    </row>
    <row r="21" spans="1:2" x14ac:dyDescent="0.25">
      <c r="A21" s="1" t="s">
        <v>123</v>
      </c>
      <c r="B21" s="1">
        <v>200</v>
      </c>
    </row>
    <row r="22" spans="1:2" x14ac:dyDescent="0.25">
      <c r="A22" s="1" t="s">
        <v>197</v>
      </c>
      <c r="B22" s="1">
        <v>200</v>
      </c>
    </row>
    <row r="23" spans="1:2" x14ac:dyDescent="0.25">
      <c r="A23" s="1" t="s">
        <v>124</v>
      </c>
      <c r="B23" s="1">
        <v>50</v>
      </c>
    </row>
    <row r="24" spans="1:2" x14ac:dyDescent="0.25">
      <c r="A24" s="1" t="s">
        <v>179</v>
      </c>
      <c r="B24" s="1">
        <v>200</v>
      </c>
    </row>
    <row r="25" spans="1:2" x14ac:dyDescent="0.25">
      <c r="A25" s="1" t="s">
        <v>125</v>
      </c>
      <c r="B25" s="1">
        <v>300</v>
      </c>
    </row>
    <row r="26" spans="1:2" x14ac:dyDescent="0.25">
      <c r="A26" s="1" t="s">
        <v>169</v>
      </c>
      <c r="B26" s="10">
        <v>500</v>
      </c>
    </row>
    <row r="27" spans="1:2" x14ac:dyDescent="0.25">
      <c r="A27" s="1"/>
      <c r="B27" s="3">
        <f>SUM(B14:B26)</f>
        <v>3250</v>
      </c>
    </row>
    <row r="28" spans="1:2" x14ac:dyDescent="0.25">
      <c r="A28" s="1"/>
      <c r="B28" s="1"/>
    </row>
    <row r="30" spans="1:2" x14ac:dyDescent="0.25">
      <c r="A30" s="25" t="s">
        <v>174</v>
      </c>
    </row>
    <row r="32" spans="1:2" x14ac:dyDescent="0.25">
      <c r="A32" s="24" t="s">
        <v>175</v>
      </c>
      <c r="B32">
        <v>1595</v>
      </c>
    </row>
    <row r="33" spans="1:2" x14ac:dyDescent="0.25">
      <c r="A33" s="24" t="s">
        <v>176</v>
      </c>
      <c r="B33">
        <v>140</v>
      </c>
    </row>
    <row r="34" spans="1:2" x14ac:dyDescent="0.25">
      <c r="A34" s="24" t="s">
        <v>208</v>
      </c>
      <c r="B34">
        <v>70</v>
      </c>
    </row>
    <row r="35" spans="1:2" x14ac:dyDescent="0.25">
      <c r="A35" s="24" t="s">
        <v>177</v>
      </c>
      <c r="B35" s="26">
        <v>88</v>
      </c>
    </row>
    <row r="36" spans="1:2" x14ac:dyDescent="0.25">
      <c r="B36" s="15">
        <f>SUM(B32:B35)</f>
        <v>1893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Income &amp; Expenditure Estimates</vt:lpstr>
      <vt:lpstr>Precept Increase 9.5%</vt:lpstr>
      <vt:lpstr>Tax Base</vt:lpstr>
      <vt:lpstr>Subscriptions &amp; Donations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Clerk</dc:creator>
  <cp:lastModifiedBy>Lesley Cox</cp:lastModifiedBy>
  <cp:lastPrinted>2026-01-06T12:09:57Z</cp:lastPrinted>
  <dcterms:created xsi:type="dcterms:W3CDTF">2020-06-16T13:13:26Z</dcterms:created>
  <dcterms:modified xsi:type="dcterms:W3CDTF">2026-02-02T10:30:28Z</dcterms:modified>
</cp:coreProperties>
</file>